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E195B5D1-931B-47B4-BE99-EA755A6CC404}" xr6:coauthVersionLast="36" xr6:coauthVersionMax="36" xr10:uidLastSave="{00000000-0000-0000-0000-000000000000}"/>
  <bookViews>
    <workbookView xWindow="0" yWindow="0" windowWidth="28800" windowHeight="11880" activeTab="1" xr2:uid="{00000000-000D-0000-FFFF-FFFF00000000}"/>
  </bookViews>
  <sheets>
    <sheet name="Лист1" sheetId="1" r:id="rId1"/>
    <sheet name="Лист2" sheetId="3" r:id="rId2"/>
  </sheets>
  <definedNames>
    <definedName name="_xlnm.Print_Area" localSheetId="0">Лист1!$A$3:$BZ$116</definedName>
  </definedNames>
  <calcPr calcId="191029"/>
</workbook>
</file>

<file path=xl/calcChain.xml><?xml version="1.0" encoding="utf-8"?>
<calcChain xmlns="http://schemas.openxmlformats.org/spreadsheetml/2006/main">
  <c r="N89" i="1" l="1"/>
  <c r="M89" i="1"/>
  <c r="N88" i="1"/>
  <c r="M88" i="1"/>
  <c r="N86" i="1"/>
  <c r="M86" i="1"/>
  <c r="N90" i="1"/>
  <c r="M90" i="1"/>
  <c r="N85" i="1"/>
  <c r="M85" i="1"/>
  <c r="N91" i="1"/>
  <c r="M91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M87" i="1" l="1"/>
  <c r="H109" i="1" l="1"/>
  <c r="Q25" i="1" l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BO25" i="1" s="1"/>
  <c r="BP25" i="1" s="1"/>
  <c r="BQ25" i="1" s="1"/>
  <c r="BR25" i="1" s="1"/>
  <c r="BS25" i="1" s="1"/>
  <c r="BT25" i="1" s="1"/>
  <c r="BU25" i="1" s="1"/>
  <c r="BV25" i="1" s="1"/>
  <c r="BW25" i="1" s="1"/>
  <c r="BX25" i="1" s="1"/>
  <c r="BY25" i="1" s="1"/>
  <c r="BZ25" i="1" s="1"/>
  <c r="P25" i="1"/>
  <c r="Z59" i="1"/>
  <c r="W59" i="1" s="1"/>
  <c r="BX114" i="1"/>
  <c r="BU114" i="1" s="1"/>
  <c r="O114" i="1" s="1"/>
  <c r="P114" i="1" s="1"/>
  <c r="Q114" i="1" s="1"/>
  <c r="AB114" i="1"/>
  <c r="AE114" i="1"/>
  <c r="J109" i="1" l="1"/>
  <c r="K109" i="1"/>
  <c r="L109" i="1"/>
  <c r="M109" i="1"/>
  <c r="N109" i="1"/>
  <c r="U109" i="1"/>
  <c r="V109" i="1"/>
  <c r="W109" i="1"/>
  <c r="X109" i="1"/>
  <c r="Y109" i="1"/>
  <c r="Z109" i="1"/>
  <c r="AA109" i="1"/>
  <c r="AC109" i="1"/>
  <c r="AD109" i="1"/>
  <c r="AF109" i="1"/>
  <c r="AH109" i="1"/>
  <c r="AI109" i="1"/>
  <c r="AK109" i="1"/>
  <c r="AL109" i="1"/>
  <c r="AM109" i="1"/>
  <c r="AN109" i="1"/>
  <c r="AO109" i="1"/>
  <c r="AP109" i="1"/>
  <c r="AW109" i="1"/>
  <c r="AX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V109" i="1"/>
  <c r="BW109" i="1"/>
  <c r="BY109" i="1"/>
  <c r="BX116" i="1"/>
  <c r="BU116" i="1" s="1"/>
  <c r="O116" i="1" s="1"/>
  <c r="P116" i="1" s="1"/>
  <c r="Q116" i="1" s="1"/>
  <c r="AB116" i="1"/>
  <c r="I116" i="1"/>
  <c r="AE115" i="1" l="1"/>
  <c r="BX115" i="1" s="1"/>
  <c r="BU115" i="1" s="1"/>
  <c r="O115" i="1" s="1"/>
  <c r="P115" i="1" s="1"/>
  <c r="Q115" i="1" s="1"/>
  <c r="BX113" i="1"/>
  <c r="BU113" i="1" s="1"/>
  <c r="O113" i="1" s="1"/>
  <c r="AE113" i="1"/>
  <c r="W84" i="1"/>
  <c r="X84" i="1"/>
  <c r="Y84" i="1"/>
  <c r="Z84" i="1"/>
  <c r="AA84" i="1"/>
  <c r="AB84" i="1"/>
  <c r="AC84" i="1"/>
  <c r="AD84" i="1"/>
  <c r="AE84" i="1"/>
  <c r="AF84" i="1"/>
  <c r="T87" i="1"/>
  <c r="U87" i="1"/>
  <c r="V87" i="1"/>
  <c r="W87" i="1"/>
  <c r="X87" i="1"/>
  <c r="Y87" i="1"/>
  <c r="Z87" i="1"/>
  <c r="AA87" i="1"/>
  <c r="AC87" i="1"/>
  <c r="AD87" i="1"/>
  <c r="AF87" i="1"/>
  <c r="AH87" i="1"/>
  <c r="AI87" i="1"/>
  <c r="AK87" i="1"/>
  <c r="AL87" i="1"/>
  <c r="AM87" i="1"/>
  <c r="AN87" i="1"/>
  <c r="AO87" i="1"/>
  <c r="AP87" i="1"/>
  <c r="AR87" i="1"/>
  <c r="AS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V87" i="1"/>
  <c r="BW87" i="1"/>
  <c r="BY87" i="1"/>
  <c r="AE91" i="1"/>
  <c r="AB91" i="1" s="1"/>
  <c r="AB87" i="1" s="1"/>
  <c r="P89" i="1"/>
  <c r="J58" i="1"/>
  <c r="K58" i="1"/>
  <c r="X58" i="1"/>
  <c r="Y58" i="1"/>
  <c r="Z58" i="1"/>
  <c r="AA58" i="1"/>
  <c r="AA57" i="1" s="1"/>
  <c r="AC58" i="1"/>
  <c r="AC57" i="1" s="1"/>
  <c r="AD58" i="1"/>
  <c r="AD57" i="1" s="1"/>
  <c r="AF58" i="1"/>
  <c r="AF57" i="1" s="1"/>
  <c r="AH58" i="1"/>
  <c r="AI58" i="1"/>
  <c r="AK58" i="1"/>
  <c r="AL58" i="1"/>
  <c r="AM58" i="1"/>
  <c r="AN58" i="1"/>
  <c r="AO58" i="1"/>
  <c r="AP58" i="1"/>
  <c r="BK58" i="1"/>
  <c r="BL58" i="1"/>
  <c r="BM58" i="1"/>
  <c r="BN58" i="1"/>
  <c r="BO58" i="1"/>
  <c r="BP58" i="1"/>
  <c r="BQ58" i="1"/>
  <c r="BR58" i="1"/>
  <c r="BS58" i="1"/>
  <c r="BT58" i="1"/>
  <c r="BY58" i="1"/>
  <c r="AE81" i="1"/>
  <c r="BX81" i="1" s="1"/>
  <c r="BU81" i="1" s="1"/>
  <c r="O81" i="1" s="1"/>
  <c r="P81" i="1" s="1"/>
  <c r="Q81" i="1" s="1"/>
  <c r="AE80" i="1"/>
  <c r="AB80" i="1" s="1"/>
  <c r="AE79" i="1"/>
  <c r="AB79" i="1" s="1"/>
  <c r="BX78" i="1"/>
  <c r="BU78" i="1" s="1"/>
  <c r="O78" i="1" s="1"/>
  <c r="P78" i="1" s="1"/>
  <c r="Q78" i="1" s="1"/>
  <c r="AB78" i="1"/>
  <c r="AE77" i="1"/>
  <c r="BX77" i="1" s="1"/>
  <c r="BU77" i="1" s="1"/>
  <c r="O77" i="1" s="1"/>
  <c r="P77" i="1" s="1"/>
  <c r="Q77" i="1" s="1"/>
  <c r="I76" i="1"/>
  <c r="AE76" i="1"/>
  <c r="AE58" i="1" s="1"/>
  <c r="AE57" i="1" s="1"/>
  <c r="BX75" i="1"/>
  <c r="BU75" i="1" s="1"/>
  <c r="O75" i="1" s="1"/>
  <c r="AB75" i="1"/>
  <c r="P75" i="1" s="1"/>
  <c r="Q75" i="1" s="1"/>
  <c r="BX72" i="1"/>
  <c r="BX73" i="1"/>
  <c r="BX74" i="1"/>
  <c r="BU74" i="1" s="1"/>
  <c r="AB74" i="1"/>
  <c r="W74" i="1"/>
  <c r="BX79" i="1" l="1"/>
  <c r="BU79" i="1" s="1"/>
  <c r="O79" i="1" s="1"/>
  <c r="P79" i="1" s="1"/>
  <c r="Q79" i="1" s="1"/>
  <c r="O74" i="1"/>
  <c r="P74" i="1" s="1"/>
  <c r="Q74" i="1" s="1"/>
  <c r="BX80" i="1"/>
  <c r="BU80" i="1" s="1"/>
  <c r="O80" i="1" s="1"/>
  <c r="P80" i="1" s="1"/>
  <c r="Q80" i="1" s="1"/>
  <c r="AE109" i="1"/>
  <c r="AB76" i="1"/>
  <c r="AB113" i="1"/>
  <c r="AE87" i="1"/>
  <c r="BX76" i="1"/>
  <c r="BU76" i="1" s="1"/>
  <c r="O76" i="1" s="1"/>
  <c r="P76" i="1" s="1"/>
  <c r="Q76" i="1" s="1"/>
  <c r="BX91" i="1"/>
  <c r="BU91" i="1" s="1"/>
  <c r="O91" i="1" s="1"/>
  <c r="P91" i="1" s="1"/>
  <c r="Q91" i="1" s="1"/>
  <c r="AB115" i="1"/>
  <c r="Z83" i="1"/>
  <c r="AA83" i="1"/>
  <c r="AA56" i="1" s="1"/>
  <c r="W83" i="1"/>
  <c r="Y83" i="1"/>
  <c r="P113" i="1"/>
  <c r="AD83" i="1"/>
  <c r="AD56" i="1" s="1"/>
  <c r="AC83" i="1"/>
  <c r="AC56" i="1" s="1"/>
  <c r="AB81" i="1"/>
  <c r="AB77" i="1"/>
  <c r="W58" i="1"/>
  <c r="X83" i="1"/>
  <c r="AB83" i="1"/>
  <c r="AE83" i="1"/>
  <c r="AE56" i="1" s="1"/>
  <c r="AF83" i="1"/>
  <c r="AF56" i="1" s="1"/>
  <c r="AB109" i="1" l="1"/>
  <c r="Q113" i="1"/>
  <c r="BU73" i="1" l="1"/>
  <c r="AB73" i="1"/>
  <c r="AB58" i="1" s="1"/>
  <c r="AB57" i="1" s="1"/>
  <c r="AB56" i="1" s="1"/>
  <c r="AB28" i="1" s="1"/>
  <c r="P73" i="1"/>
  <c r="Q73" i="1" s="1"/>
  <c r="BV40" i="1"/>
  <c r="BW40" i="1"/>
  <c r="BX40" i="1"/>
  <c r="BY40" i="1"/>
  <c r="AB40" i="1"/>
  <c r="AB39" i="1" s="1"/>
  <c r="AB36" i="1" s="1"/>
  <c r="AB35" i="1" s="1"/>
  <c r="AB34" i="1" s="1"/>
  <c r="AC39" i="1"/>
  <c r="AC36" i="1" s="1"/>
  <c r="AC35" i="1" s="1"/>
  <c r="AD39" i="1"/>
  <c r="AD36" i="1" s="1"/>
  <c r="AD35" i="1" s="1"/>
  <c r="AD34" i="1" s="1"/>
  <c r="AE39" i="1"/>
  <c r="AE36" i="1" s="1"/>
  <c r="AE35" i="1" s="1"/>
  <c r="AF39" i="1"/>
  <c r="AF36" i="1" s="1"/>
  <c r="AF35" i="1" s="1"/>
  <c r="AF32" i="1"/>
  <c r="AE32" i="1"/>
  <c r="AD32" i="1"/>
  <c r="AC32" i="1"/>
  <c r="AB32" i="1"/>
  <c r="AF28" i="1"/>
  <c r="AE28" i="1"/>
  <c r="AD28" i="1"/>
  <c r="AC28" i="1"/>
  <c r="Q40" i="1"/>
  <c r="BU40" i="1" l="1"/>
  <c r="AF34" i="1"/>
  <c r="AF27" i="1"/>
  <c r="AF26" i="1" s="1"/>
  <c r="AC27" i="1"/>
  <c r="AC26" i="1" s="1"/>
  <c r="AC34" i="1"/>
  <c r="AE27" i="1"/>
  <c r="AE26" i="1" s="1"/>
  <c r="AE34" i="1"/>
  <c r="AB27" i="1"/>
  <c r="AB26" i="1" s="1"/>
  <c r="AD27" i="1"/>
  <c r="AD26" i="1" s="1"/>
  <c r="P60" i="1"/>
  <c r="P39" i="1"/>
  <c r="P36" i="1" s="1"/>
  <c r="P35" i="1" s="1"/>
  <c r="J39" i="1"/>
  <c r="J36" i="1" s="1"/>
  <c r="J35" i="1" s="1"/>
  <c r="K39" i="1"/>
  <c r="K36" i="1" s="1"/>
  <c r="K35" i="1" s="1"/>
  <c r="K34" i="1" s="1"/>
  <c r="L39" i="1"/>
  <c r="L36" i="1" s="1"/>
  <c r="L35" i="1" s="1"/>
  <c r="M36" i="1"/>
  <c r="M35" i="1" s="1"/>
  <c r="N36" i="1"/>
  <c r="N35" i="1" s="1"/>
  <c r="O39" i="1"/>
  <c r="O36" i="1" s="1"/>
  <c r="O35" i="1" s="1"/>
  <c r="O27" i="1" s="1"/>
  <c r="Q39" i="1"/>
  <c r="Q36" i="1" s="1"/>
  <c r="Q35" i="1" s="1"/>
  <c r="R39" i="1"/>
  <c r="R36" i="1" s="1"/>
  <c r="R35" i="1" s="1"/>
  <c r="S39" i="1"/>
  <c r="S36" i="1" s="1"/>
  <c r="S35" i="1" s="1"/>
  <c r="T39" i="1"/>
  <c r="T36" i="1" s="1"/>
  <c r="T35" i="1" s="1"/>
  <c r="U39" i="1"/>
  <c r="U36" i="1" s="1"/>
  <c r="U35" i="1" s="1"/>
  <c r="V39" i="1"/>
  <c r="V36" i="1" s="1"/>
  <c r="V35" i="1" s="1"/>
  <c r="W39" i="1"/>
  <c r="W36" i="1" s="1"/>
  <c r="W35" i="1" s="1"/>
  <c r="X39" i="1"/>
  <c r="X36" i="1" s="1"/>
  <c r="X35" i="1" s="1"/>
  <c r="Y39" i="1"/>
  <c r="Y36" i="1" s="1"/>
  <c r="Y35" i="1" s="1"/>
  <c r="Z39" i="1"/>
  <c r="Z36" i="1" s="1"/>
  <c r="Z35" i="1" s="1"/>
  <c r="AA39" i="1"/>
  <c r="AA36" i="1" s="1"/>
  <c r="AA35" i="1" s="1"/>
  <c r="AG39" i="1"/>
  <c r="AG36" i="1" s="1"/>
  <c r="AG35" i="1" s="1"/>
  <c r="AH39" i="1"/>
  <c r="AH36" i="1" s="1"/>
  <c r="AH35" i="1" s="1"/>
  <c r="AI39" i="1"/>
  <c r="AI36" i="1" s="1"/>
  <c r="AI35" i="1" s="1"/>
  <c r="AJ39" i="1"/>
  <c r="AJ36" i="1" s="1"/>
  <c r="AJ35" i="1" s="1"/>
  <c r="AK39" i="1"/>
  <c r="AK36" i="1" s="1"/>
  <c r="AK35" i="1" s="1"/>
  <c r="AL39" i="1"/>
  <c r="AL36" i="1" s="1"/>
  <c r="AL35" i="1" s="1"/>
  <c r="AM39" i="1"/>
  <c r="AM36" i="1" s="1"/>
  <c r="AM35" i="1" s="1"/>
  <c r="AN39" i="1"/>
  <c r="AN36" i="1" s="1"/>
  <c r="AN35" i="1" s="1"/>
  <c r="AO39" i="1"/>
  <c r="AO36" i="1" s="1"/>
  <c r="AO35" i="1" s="1"/>
  <c r="AP39" i="1"/>
  <c r="AP36" i="1" s="1"/>
  <c r="AP35" i="1" s="1"/>
  <c r="AQ39" i="1"/>
  <c r="AQ36" i="1" s="1"/>
  <c r="AQ35" i="1" s="1"/>
  <c r="AR39" i="1"/>
  <c r="AR36" i="1" s="1"/>
  <c r="AR35" i="1" s="1"/>
  <c r="AS39" i="1"/>
  <c r="AS36" i="1" s="1"/>
  <c r="AS35" i="1" s="1"/>
  <c r="AT39" i="1"/>
  <c r="AT36" i="1" s="1"/>
  <c r="AT35" i="1" s="1"/>
  <c r="AU39" i="1"/>
  <c r="AU36" i="1" s="1"/>
  <c r="AU35" i="1" s="1"/>
  <c r="AV39" i="1"/>
  <c r="AV36" i="1" s="1"/>
  <c r="AV35" i="1" s="1"/>
  <c r="AW39" i="1"/>
  <c r="AW36" i="1" s="1"/>
  <c r="AW35" i="1" s="1"/>
  <c r="AX39" i="1"/>
  <c r="AX36" i="1" s="1"/>
  <c r="AX35" i="1" s="1"/>
  <c r="AY39" i="1"/>
  <c r="AY36" i="1" s="1"/>
  <c r="AY35" i="1" s="1"/>
  <c r="AZ39" i="1"/>
  <c r="AZ36" i="1" s="1"/>
  <c r="AZ35" i="1" s="1"/>
  <c r="BA39" i="1"/>
  <c r="BA36" i="1" s="1"/>
  <c r="BA35" i="1" s="1"/>
  <c r="BB39" i="1"/>
  <c r="BB36" i="1" s="1"/>
  <c r="BB35" i="1" s="1"/>
  <c r="BC39" i="1"/>
  <c r="BC36" i="1" s="1"/>
  <c r="BC35" i="1" s="1"/>
  <c r="BD39" i="1"/>
  <c r="BD36" i="1" s="1"/>
  <c r="BD35" i="1" s="1"/>
  <c r="BE39" i="1"/>
  <c r="BE36" i="1" s="1"/>
  <c r="BE35" i="1" s="1"/>
  <c r="BF39" i="1"/>
  <c r="BF36" i="1" s="1"/>
  <c r="BF35" i="1" s="1"/>
  <c r="BG39" i="1"/>
  <c r="BG36" i="1" s="1"/>
  <c r="BG35" i="1" s="1"/>
  <c r="BH39" i="1"/>
  <c r="BH36" i="1" s="1"/>
  <c r="BH35" i="1" s="1"/>
  <c r="BI39" i="1"/>
  <c r="BI36" i="1" s="1"/>
  <c r="BI35" i="1" s="1"/>
  <c r="BJ39" i="1"/>
  <c r="BJ36" i="1" s="1"/>
  <c r="BJ35" i="1" s="1"/>
  <c r="BK39" i="1"/>
  <c r="BK36" i="1" s="1"/>
  <c r="BK35" i="1" s="1"/>
  <c r="BL39" i="1"/>
  <c r="BL36" i="1" s="1"/>
  <c r="BL35" i="1" s="1"/>
  <c r="BM39" i="1"/>
  <c r="BM36" i="1" s="1"/>
  <c r="BM35" i="1" s="1"/>
  <c r="BN39" i="1"/>
  <c r="BN36" i="1" s="1"/>
  <c r="BN35" i="1" s="1"/>
  <c r="BO39" i="1"/>
  <c r="BO36" i="1" s="1"/>
  <c r="BO35" i="1" s="1"/>
  <c r="BP39" i="1"/>
  <c r="BP36" i="1" s="1"/>
  <c r="BP35" i="1" s="1"/>
  <c r="BQ39" i="1"/>
  <c r="BQ36" i="1" s="1"/>
  <c r="BQ35" i="1" s="1"/>
  <c r="BR39" i="1"/>
  <c r="BR36" i="1" s="1"/>
  <c r="BR35" i="1" s="1"/>
  <c r="BS39" i="1"/>
  <c r="BS36" i="1" s="1"/>
  <c r="BS35" i="1" s="1"/>
  <c r="BT39" i="1"/>
  <c r="BT36" i="1" s="1"/>
  <c r="BT35" i="1" s="1"/>
  <c r="BU39" i="1"/>
  <c r="BU36" i="1" s="1"/>
  <c r="BU35" i="1" s="1"/>
  <c r="BV39" i="1"/>
  <c r="BV36" i="1" s="1"/>
  <c r="BV35" i="1" s="1"/>
  <c r="BW39" i="1"/>
  <c r="BW36" i="1" s="1"/>
  <c r="BW35" i="1" s="1"/>
  <c r="BX39" i="1"/>
  <c r="BX36" i="1" s="1"/>
  <c r="BX35" i="1" s="1"/>
  <c r="BY39" i="1"/>
  <c r="BY36" i="1" s="1"/>
  <c r="BY35" i="1" s="1"/>
  <c r="I39" i="1"/>
  <c r="I36" i="1" s="1"/>
  <c r="I35" i="1" s="1"/>
  <c r="P27" i="1" l="1"/>
  <c r="N87" i="1" l="1"/>
  <c r="N58" i="1"/>
  <c r="M58" i="1"/>
  <c r="W57" i="1" l="1"/>
  <c r="W56" i="1" s="1"/>
  <c r="W34" i="1" s="1"/>
  <c r="X57" i="1"/>
  <c r="X56" i="1" s="1"/>
  <c r="X34" i="1" s="1"/>
  <c r="Y57" i="1"/>
  <c r="Y56" i="1" s="1"/>
  <c r="Y34" i="1" s="1"/>
  <c r="Z57" i="1"/>
  <c r="Z56" i="1" s="1"/>
  <c r="Z34" i="1" s="1"/>
  <c r="AA34" i="1"/>
  <c r="W32" i="1" l="1"/>
  <c r="X32" i="1"/>
  <c r="Y32" i="1"/>
  <c r="Z32" i="1"/>
  <c r="AA32" i="1"/>
  <c r="W28" i="1"/>
  <c r="X28" i="1"/>
  <c r="Y28" i="1"/>
  <c r="Z28" i="1"/>
  <c r="AA28" i="1"/>
  <c r="W27" i="1"/>
  <c r="X27" i="1"/>
  <c r="Y27" i="1"/>
  <c r="Z27" i="1"/>
  <c r="AA27" i="1"/>
  <c r="L60" i="1"/>
  <c r="L58" i="1" s="1"/>
  <c r="Z26" i="1" l="1"/>
  <c r="AA26" i="1"/>
  <c r="Y26" i="1"/>
  <c r="X26" i="1"/>
  <c r="W26" i="1"/>
  <c r="H86" i="1"/>
  <c r="H85" i="1"/>
  <c r="H70" i="1" l="1"/>
  <c r="H69" i="1"/>
  <c r="J28" i="1" l="1"/>
  <c r="K28" i="1"/>
  <c r="G32" i="1"/>
  <c r="F32" i="1"/>
  <c r="E32" i="1"/>
  <c r="D32" i="1"/>
  <c r="N31" i="1"/>
  <c r="M31" i="1"/>
  <c r="L31" i="1"/>
  <c r="K31" i="1"/>
  <c r="J31" i="1"/>
  <c r="I31" i="1"/>
  <c r="H31" i="1"/>
  <c r="G31" i="1"/>
  <c r="F31" i="1"/>
  <c r="E31" i="1"/>
  <c r="D31" i="1"/>
  <c r="N30" i="1"/>
  <c r="M30" i="1"/>
  <c r="L30" i="1"/>
  <c r="K30" i="1"/>
  <c r="J30" i="1"/>
  <c r="I30" i="1"/>
  <c r="H30" i="1"/>
  <c r="G30" i="1"/>
  <c r="F30" i="1"/>
  <c r="E30" i="1"/>
  <c r="D30" i="1"/>
  <c r="N29" i="1"/>
  <c r="M29" i="1"/>
  <c r="L29" i="1"/>
  <c r="K29" i="1"/>
  <c r="J29" i="1"/>
  <c r="I29" i="1"/>
  <c r="H29" i="1"/>
  <c r="G29" i="1"/>
  <c r="F29" i="1"/>
  <c r="E29" i="1"/>
  <c r="D29" i="1"/>
  <c r="G28" i="1"/>
  <c r="D28" i="1"/>
  <c r="L27" i="1"/>
  <c r="K27" i="1"/>
  <c r="J27" i="1"/>
  <c r="I27" i="1"/>
  <c r="H27" i="1"/>
  <c r="G27" i="1"/>
  <c r="F27" i="1"/>
  <c r="E27" i="1"/>
  <c r="D27" i="1"/>
  <c r="K25" i="1"/>
  <c r="AV65" i="1"/>
  <c r="AV66" i="1"/>
  <c r="AV67" i="1"/>
  <c r="AV68" i="1"/>
  <c r="AV69" i="1"/>
  <c r="AV70" i="1"/>
  <c r="AV71" i="1"/>
  <c r="AV72" i="1"/>
  <c r="AJ112" i="1"/>
  <c r="AJ109" i="1" s="1"/>
  <c r="AY111" i="1"/>
  <c r="I111" i="1"/>
  <c r="AT110" i="1"/>
  <c r="I110" i="1"/>
  <c r="I109" i="1" s="1"/>
  <c r="BK83" i="1"/>
  <c r="BL83" i="1"/>
  <c r="BM83" i="1"/>
  <c r="BN83" i="1"/>
  <c r="BO83" i="1"/>
  <c r="BP83" i="1"/>
  <c r="BQ83" i="1"/>
  <c r="BR83" i="1"/>
  <c r="BS83" i="1"/>
  <c r="BT83" i="1"/>
  <c r="BV83" i="1"/>
  <c r="BW83" i="1"/>
  <c r="BY83" i="1"/>
  <c r="AT90" i="1"/>
  <c r="I90" i="1"/>
  <c r="H90" i="1"/>
  <c r="BX89" i="1"/>
  <c r="BU89" i="1" s="1"/>
  <c r="AG89" i="1"/>
  <c r="AJ88" i="1"/>
  <c r="AJ87" i="1" s="1"/>
  <c r="I88" i="1"/>
  <c r="I87" i="1" s="1"/>
  <c r="H88" i="1"/>
  <c r="BI86" i="1"/>
  <c r="BF86" i="1" s="1"/>
  <c r="BD86" i="1"/>
  <c r="BA86" i="1" s="1"/>
  <c r="AJ85" i="1"/>
  <c r="BF72" i="1"/>
  <c r="O72" i="1" s="1"/>
  <c r="BI71" i="1"/>
  <c r="I71" i="1"/>
  <c r="H71" i="1"/>
  <c r="BD70" i="1"/>
  <c r="AT69" i="1"/>
  <c r="AT68" i="1"/>
  <c r="I68" i="1"/>
  <c r="H68" i="1"/>
  <c r="AJ67" i="1"/>
  <c r="I67" i="1"/>
  <c r="H67" i="1"/>
  <c r="BI66" i="1"/>
  <c r="BA66" i="1"/>
  <c r="I66" i="1"/>
  <c r="H66" i="1"/>
  <c r="BD65" i="1"/>
  <c r="I65" i="1"/>
  <c r="H65" i="1"/>
  <c r="AY64" i="1"/>
  <c r="AT64" i="1"/>
  <c r="I64" i="1"/>
  <c r="H64" i="1"/>
  <c r="AY63" i="1"/>
  <c r="AT63" i="1"/>
  <c r="I63" i="1"/>
  <c r="H63" i="1"/>
  <c r="AY62" i="1"/>
  <c r="AT62" i="1"/>
  <c r="AQ62" i="1" s="1"/>
  <c r="H62" i="1"/>
  <c r="I62" i="1"/>
  <c r="I61" i="1"/>
  <c r="BD61" i="1"/>
  <c r="AY61" i="1"/>
  <c r="AJ61" i="1"/>
  <c r="H61" i="1"/>
  <c r="H59" i="1"/>
  <c r="I59" i="1"/>
  <c r="AJ60" i="1"/>
  <c r="AQ110" i="1" l="1"/>
  <c r="AT109" i="1"/>
  <c r="H87" i="1"/>
  <c r="AV111" i="1"/>
  <c r="AY109" i="1"/>
  <c r="AV61" i="1"/>
  <c r="AY58" i="1"/>
  <c r="AV64" i="1"/>
  <c r="BX64" i="1"/>
  <c r="AQ68" i="1"/>
  <c r="O68" i="1" s="1"/>
  <c r="Q68" i="1" s="1"/>
  <c r="P68" i="1" s="1"/>
  <c r="BX68" i="1"/>
  <c r="BA65" i="1"/>
  <c r="BX65" i="1"/>
  <c r="BA70" i="1"/>
  <c r="O70" i="1" s="1"/>
  <c r="Q70" i="1" s="1"/>
  <c r="R70" i="1" s="1"/>
  <c r="S70" i="1" s="1"/>
  <c r="T70" i="1" s="1"/>
  <c r="U70" i="1" s="1"/>
  <c r="BX70" i="1"/>
  <c r="AV62" i="1"/>
  <c r="O62" i="1" s="1"/>
  <c r="Q62" i="1" s="1"/>
  <c r="BX62" i="1"/>
  <c r="R60" i="1"/>
  <c r="O60" i="1" s="1"/>
  <c r="AJ58" i="1"/>
  <c r="I58" i="1"/>
  <c r="H58" i="1"/>
  <c r="H57" i="1" s="1"/>
  <c r="BF66" i="1"/>
  <c r="BX66" i="1"/>
  <c r="AV63" i="1"/>
  <c r="BX63" i="1"/>
  <c r="AQ69" i="1"/>
  <c r="O69" i="1" s="1"/>
  <c r="Q69" i="1" s="1"/>
  <c r="R69" i="1" s="1"/>
  <c r="S69" i="1" s="1"/>
  <c r="BX69" i="1"/>
  <c r="BF71" i="1"/>
  <c r="O71" i="1" s="1"/>
  <c r="Q71" i="1" s="1"/>
  <c r="R71" i="1" s="1"/>
  <c r="S71" i="1" s="1"/>
  <c r="T71" i="1" s="1"/>
  <c r="U71" i="1" s="1"/>
  <c r="V71" i="1" s="1"/>
  <c r="BX71" i="1"/>
  <c r="AQ90" i="1"/>
  <c r="AT87" i="1"/>
  <c r="AG67" i="1"/>
  <c r="O67" i="1" s="1"/>
  <c r="Q67" i="1" s="1"/>
  <c r="P67" i="1" s="1"/>
  <c r="BX67" i="1"/>
  <c r="BA61" i="1"/>
  <c r="BD58" i="1"/>
  <c r="BX61" i="1"/>
  <c r="O65" i="1"/>
  <c r="Q65" i="1" s="1"/>
  <c r="P65" i="1" s="1"/>
  <c r="Q72" i="1"/>
  <c r="R72" i="1" s="1"/>
  <c r="S72" i="1" s="1"/>
  <c r="T72" i="1" s="1"/>
  <c r="U72" i="1" s="1"/>
  <c r="V72" i="1" s="1"/>
  <c r="D26" i="1"/>
  <c r="G26" i="1"/>
  <c r="AG88" i="1"/>
  <c r="AG87" i="1" s="1"/>
  <c r="BX88" i="1"/>
  <c r="BX90" i="1"/>
  <c r="BU90" i="1" s="1"/>
  <c r="O66" i="1"/>
  <c r="Q66" i="1" s="1"/>
  <c r="P66" i="1" s="1"/>
  <c r="O86" i="1"/>
  <c r="Q86" i="1" s="1"/>
  <c r="I57" i="1"/>
  <c r="O111" i="1" l="1"/>
  <c r="Q111" i="1" s="1"/>
  <c r="AV109" i="1"/>
  <c r="R67" i="1"/>
  <c r="R86" i="1"/>
  <c r="S86" i="1" s="1"/>
  <c r="T86" i="1" s="1"/>
  <c r="U86" i="1" s="1"/>
  <c r="V86" i="1" s="1"/>
  <c r="P86" i="1"/>
  <c r="BX87" i="1"/>
  <c r="P72" i="1"/>
  <c r="O110" i="1"/>
  <c r="R65" i="1"/>
  <c r="S65" i="1" s="1"/>
  <c r="T65" i="1" s="1"/>
  <c r="U65" i="1" s="1"/>
  <c r="BU88" i="1"/>
  <c r="BU87" i="1" s="1"/>
  <c r="P69" i="1"/>
  <c r="P70" i="1"/>
  <c r="R68" i="1"/>
  <c r="S68" i="1" s="1"/>
  <c r="P71" i="1"/>
  <c r="AQ87" i="1"/>
  <c r="O90" i="1"/>
  <c r="Q90" i="1" s="1"/>
  <c r="R62" i="1"/>
  <c r="S62" i="1" s="1"/>
  <c r="T62" i="1" s="1"/>
  <c r="P62" i="1"/>
  <c r="O88" i="1"/>
  <c r="R66" i="1"/>
  <c r="S66" i="1" s="1"/>
  <c r="T66" i="1" s="1"/>
  <c r="Q110" i="1" l="1"/>
  <c r="R111" i="1"/>
  <c r="S111" i="1" s="1"/>
  <c r="T111" i="1" s="1"/>
  <c r="T109" i="1" s="1"/>
  <c r="P111" i="1"/>
  <c r="Q88" i="1"/>
  <c r="R88" i="1" s="1"/>
  <c r="R87" i="1" s="1"/>
  <c r="O87" i="1"/>
  <c r="R90" i="1"/>
  <c r="S90" i="1" s="1"/>
  <c r="S87" i="1" s="1"/>
  <c r="P90" i="1"/>
  <c r="U66" i="1"/>
  <c r="V66" i="1" s="1"/>
  <c r="V58" i="1" s="1"/>
  <c r="R110" i="1" l="1"/>
  <c r="P110" i="1"/>
  <c r="P88" i="1"/>
  <c r="P87" i="1" s="1"/>
  <c r="Q87" i="1"/>
  <c r="AT59" i="1"/>
  <c r="O59" i="1"/>
  <c r="M57" i="1"/>
  <c r="S110" i="1" l="1"/>
  <c r="S109" i="1" s="1"/>
  <c r="P59" i="1"/>
  <c r="S59" i="1"/>
  <c r="AT58" i="1"/>
  <c r="Q53" i="1"/>
  <c r="Q27" i="1" s="1"/>
  <c r="BU62" i="1" l="1"/>
  <c r="BU65" i="1"/>
  <c r="BU67" i="1"/>
  <c r="BU68" i="1"/>
  <c r="BU69" i="1"/>
  <c r="BU70" i="1"/>
  <c r="BU71" i="1"/>
  <c r="BU72" i="1"/>
  <c r="BX86" i="1"/>
  <c r="BU86" i="1" s="1"/>
  <c r="BX92" i="1"/>
  <c r="BU92" i="1" s="1"/>
  <c r="BX93" i="1"/>
  <c r="BU93" i="1" s="1"/>
  <c r="BX94" i="1"/>
  <c r="BU94" i="1" s="1"/>
  <c r="BX95" i="1"/>
  <c r="BU95" i="1" s="1"/>
  <c r="BX96" i="1"/>
  <c r="BU96" i="1" s="1"/>
  <c r="BX97" i="1"/>
  <c r="BU97" i="1" s="1"/>
  <c r="BX98" i="1"/>
  <c r="BU98" i="1" s="1"/>
  <c r="BX99" i="1"/>
  <c r="BU99" i="1" s="1"/>
  <c r="BX100" i="1"/>
  <c r="BU100" i="1" s="1"/>
  <c r="BX101" i="1"/>
  <c r="BU101" i="1" s="1"/>
  <c r="BX102" i="1"/>
  <c r="BU102" i="1" s="1"/>
  <c r="BX103" i="1"/>
  <c r="BU103" i="1" s="1"/>
  <c r="BX104" i="1"/>
  <c r="BU104" i="1" s="1"/>
  <c r="BX105" i="1"/>
  <c r="BU105" i="1" s="1"/>
  <c r="BX106" i="1"/>
  <c r="BU106" i="1" s="1"/>
  <c r="BX107" i="1"/>
  <c r="BU107" i="1" s="1"/>
  <c r="BX108" i="1"/>
  <c r="BU108" i="1" s="1"/>
  <c r="BX110" i="1"/>
  <c r="BX111" i="1"/>
  <c r="BU111" i="1" s="1"/>
  <c r="BK32" i="1"/>
  <c r="BL32" i="1"/>
  <c r="BM32" i="1"/>
  <c r="BN32" i="1"/>
  <c r="BO32" i="1"/>
  <c r="BP32" i="1"/>
  <c r="BQ32" i="1"/>
  <c r="BR32" i="1"/>
  <c r="BS32" i="1"/>
  <c r="BT32" i="1"/>
  <c r="BY32" i="1"/>
  <c r="V57" i="1"/>
  <c r="AH57" i="1"/>
  <c r="AI57" i="1"/>
  <c r="AK57" i="1"/>
  <c r="AM57" i="1"/>
  <c r="AN57" i="1"/>
  <c r="AO57" i="1"/>
  <c r="AP57" i="1"/>
  <c r="BK57" i="1"/>
  <c r="BL57" i="1"/>
  <c r="BM57" i="1"/>
  <c r="BN57" i="1"/>
  <c r="BO57" i="1"/>
  <c r="BP57" i="1"/>
  <c r="BQ57" i="1"/>
  <c r="BR57" i="1"/>
  <c r="BS57" i="1"/>
  <c r="BT57" i="1"/>
  <c r="BY57" i="1"/>
  <c r="BW66" i="1"/>
  <c r="BV66" i="1"/>
  <c r="BW65" i="1"/>
  <c r="BV65" i="1"/>
  <c r="BV32" i="1"/>
  <c r="AS110" i="1"/>
  <c r="AS109" i="1" s="1"/>
  <c r="AR110" i="1"/>
  <c r="AR109" i="1" s="1"/>
  <c r="AU110" i="1"/>
  <c r="AU109" i="1" s="1"/>
  <c r="BB32" i="1"/>
  <c r="AZ32" i="1"/>
  <c r="BJ32" i="1"/>
  <c r="BH32" i="1"/>
  <c r="BG32" i="1"/>
  <c r="BE32" i="1"/>
  <c r="BC32" i="1"/>
  <c r="BY85" i="1"/>
  <c r="BT86" i="1"/>
  <c r="BS86" i="1"/>
  <c r="BR86" i="1"/>
  <c r="BQ86" i="1"/>
  <c r="BP86" i="1"/>
  <c r="BO86" i="1"/>
  <c r="BN86" i="1"/>
  <c r="BM86" i="1"/>
  <c r="BL86" i="1"/>
  <c r="BK86" i="1"/>
  <c r="BE85" i="1"/>
  <c r="BC85" i="1"/>
  <c r="BB85" i="1"/>
  <c r="AZ85" i="1"/>
  <c r="AY85" i="1"/>
  <c r="AX85" i="1"/>
  <c r="AW85" i="1"/>
  <c r="AV85" i="1"/>
  <c r="AU85" i="1"/>
  <c r="AT85" i="1"/>
  <c r="AS85" i="1"/>
  <c r="AR85" i="1"/>
  <c r="AQ85" i="1"/>
  <c r="AP86" i="1"/>
  <c r="AP85" i="1" s="1"/>
  <c r="AO86" i="1"/>
  <c r="AO85" i="1" s="1"/>
  <c r="AN86" i="1"/>
  <c r="AN85" i="1" s="1"/>
  <c r="AM86" i="1"/>
  <c r="AM85" i="1" s="1"/>
  <c r="AL86" i="1"/>
  <c r="AL85" i="1" s="1"/>
  <c r="AK85" i="1"/>
  <c r="BY53" i="1"/>
  <c r="BY27" i="1" s="1"/>
  <c r="AV53" i="1"/>
  <c r="AY53" i="1"/>
  <c r="BA53" i="1"/>
  <c r="BD53" i="1"/>
  <c r="BF53" i="1"/>
  <c r="BI53" i="1"/>
  <c r="BK53" i="1"/>
  <c r="BK27" i="1" s="1"/>
  <c r="BL53" i="1"/>
  <c r="BL27" i="1" s="1"/>
  <c r="BM53" i="1"/>
  <c r="BM27" i="1" s="1"/>
  <c r="BN53" i="1"/>
  <c r="BN27" i="1" s="1"/>
  <c r="BO53" i="1"/>
  <c r="BO27" i="1" s="1"/>
  <c r="BP53" i="1"/>
  <c r="BP27" i="1" s="1"/>
  <c r="BQ53" i="1"/>
  <c r="BQ27" i="1" s="1"/>
  <c r="BR53" i="1"/>
  <c r="BR27" i="1" s="1"/>
  <c r="BS53" i="1"/>
  <c r="BS27" i="1" s="1"/>
  <c r="BT53" i="1"/>
  <c r="BT27" i="1" s="1"/>
  <c r="BV53" i="1"/>
  <c r="BV27" i="1" s="1"/>
  <c r="BW53" i="1"/>
  <c r="BW27" i="1" s="1"/>
  <c r="R53" i="1"/>
  <c r="T53" i="1"/>
  <c r="U53" i="1"/>
  <c r="V53" i="1"/>
  <c r="V27" i="1" s="1"/>
  <c r="AH53" i="1"/>
  <c r="AH27" i="1" s="1"/>
  <c r="AK53" i="1"/>
  <c r="AM53" i="1"/>
  <c r="AM27" i="1" s="1"/>
  <c r="AN53" i="1"/>
  <c r="AN27" i="1" s="1"/>
  <c r="AP53" i="1"/>
  <c r="AQ53" i="1"/>
  <c r="AT53" i="1"/>
  <c r="AJ53" i="1"/>
  <c r="BU110" i="1" l="1"/>
  <c r="BU66" i="1"/>
  <c r="BP56" i="1"/>
  <c r="BP34" i="1" s="1"/>
  <c r="BL56" i="1"/>
  <c r="BL34" i="1" s="1"/>
  <c r="BR56" i="1"/>
  <c r="BR34" i="1" s="1"/>
  <c r="BQ56" i="1"/>
  <c r="BQ34" i="1" s="1"/>
  <c r="BK56" i="1"/>
  <c r="BK34" i="1" s="1"/>
  <c r="S53" i="1"/>
  <c r="AI53" i="1"/>
  <c r="AI27" i="1" s="1"/>
  <c r="BO56" i="1"/>
  <c r="BO34" i="1" s="1"/>
  <c r="BW32" i="1"/>
  <c r="AG53" i="1"/>
  <c r="AG27" i="1" s="1"/>
  <c r="BT56" i="1"/>
  <c r="BT34" i="1" s="1"/>
  <c r="BS56" i="1"/>
  <c r="BS34" i="1" s="1"/>
  <c r="BM56" i="1"/>
  <c r="BM34" i="1" s="1"/>
  <c r="BN56" i="1"/>
  <c r="BN34" i="1" s="1"/>
  <c r="BY56" i="1"/>
  <c r="BY34" i="1" s="1"/>
  <c r="AK27" i="1"/>
  <c r="U27" i="1"/>
  <c r="AP27" i="1"/>
  <c r="AJ27" i="1"/>
  <c r="T27" i="1"/>
  <c r="BK28" i="1" l="1"/>
  <c r="BK26" i="1" s="1"/>
  <c r="BL28" i="1"/>
  <c r="BL26" i="1" s="1"/>
  <c r="BM28" i="1"/>
  <c r="BM26" i="1" s="1"/>
  <c r="BR28" i="1"/>
  <c r="BR26" i="1" s="1"/>
  <c r="BN28" i="1"/>
  <c r="BN26" i="1" s="1"/>
  <c r="BS28" i="1"/>
  <c r="BS26" i="1" s="1"/>
  <c r="BQ28" i="1"/>
  <c r="BQ26" i="1" s="1"/>
  <c r="BY28" i="1"/>
  <c r="BY26" i="1" s="1"/>
  <c r="BP28" i="1"/>
  <c r="BP26" i="1" s="1"/>
  <c r="BO28" i="1"/>
  <c r="BO26" i="1" s="1"/>
  <c r="BT28" i="1"/>
  <c r="BT26" i="1" s="1"/>
  <c r="BU53" i="1"/>
  <c r="BU27" i="1" s="1"/>
  <c r="BX53" i="1"/>
  <c r="BX27" i="1" s="1"/>
  <c r="L57" i="1" l="1"/>
  <c r="N57" i="1"/>
  <c r="I84" i="1"/>
  <c r="I83" i="1" s="1"/>
  <c r="J84" i="1"/>
  <c r="J83" i="1" s="1"/>
  <c r="K84" i="1"/>
  <c r="K83" i="1" s="1"/>
  <c r="L84" i="1"/>
  <c r="L83" i="1" s="1"/>
  <c r="N84" i="1"/>
  <c r="N83" i="1" s="1"/>
  <c r="S84" i="1"/>
  <c r="S83" i="1" s="1"/>
  <c r="T84" i="1"/>
  <c r="T83" i="1" s="1"/>
  <c r="U84" i="1"/>
  <c r="U83" i="1" s="1"/>
  <c r="V84" i="1"/>
  <c r="V83" i="1" s="1"/>
  <c r="AH84" i="1"/>
  <c r="AH83" i="1" s="1"/>
  <c r="AI84" i="1"/>
  <c r="AI83" i="1" s="1"/>
  <c r="AK84" i="1"/>
  <c r="AK83" i="1" s="1"/>
  <c r="AL84" i="1"/>
  <c r="AL83" i="1" s="1"/>
  <c r="AM84" i="1"/>
  <c r="AM83" i="1" s="1"/>
  <c r="AN84" i="1"/>
  <c r="AN83" i="1" s="1"/>
  <c r="AO84" i="1"/>
  <c r="AO83" i="1" s="1"/>
  <c r="AP84" i="1"/>
  <c r="AP83" i="1" s="1"/>
  <c r="AQ84" i="1"/>
  <c r="AQ83" i="1" s="1"/>
  <c r="AR84" i="1"/>
  <c r="AR83" i="1" s="1"/>
  <c r="AS84" i="1"/>
  <c r="AS83" i="1" s="1"/>
  <c r="AT84" i="1"/>
  <c r="AT83" i="1" s="1"/>
  <c r="AU84" i="1"/>
  <c r="AU83" i="1" s="1"/>
  <c r="AV84" i="1"/>
  <c r="AV83" i="1" s="1"/>
  <c r="AW84" i="1"/>
  <c r="AW83" i="1" s="1"/>
  <c r="AX84" i="1"/>
  <c r="AX83" i="1" s="1"/>
  <c r="AY84" i="1"/>
  <c r="AY83" i="1" s="1"/>
  <c r="AZ84" i="1"/>
  <c r="AZ83" i="1" s="1"/>
  <c r="BB84" i="1"/>
  <c r="BB83" i="1" s="1"/>
  <c r="BC84" i="1"/>
  <c r="BC83" i="1" s="1"/>
  <c r="BE84" i="1"/>
  <c r="BE83" i="1" s="1"/>
  <c r="BF84" i="1"/>
  <c r="BF83" i="1" s="1"/>
  <c r="BG84" i="1"/>
  <c r="BG83" i="1" s="1"/>
  <c r="BH84" i="1"/>
  <c r="BH83" i="1" s="1"/>
  <c r="BI84" i="1"/>
  <c r="BI83" i="1" s="1"/>
  <c r="BJ84" i="1"/>
  <c r="BJ83" i="1" s="1"/>
  <c r="H84" i="1"/>
  <c r="H83" i="1" s="1"/>
  <c r="J32" i="1"/>
  <c r="J26" i="1" s="1"/>
  <c r="K32" i="1"/>
  <c r="K26" i="1" s="1"/>
  <c r="L32" i="1"/>
  <c r="M32" i="1"/>
  <c r="N32" i="1"/>
  <c r="S32" i="1"/>
  <c r="T32" i="1"/>
  <c r="U32" i="1"/>
  <c r="V32" i="1"/>
  <c r="AH32" i="1"/>
  <c r="AI32" i="1"/>
  <c r="AK32" i="1"/>
  <c r="AM32" i="1"/>
  <c r="AN32" i="1"/>
  <c r="AO32" i="1"/>
  <c r="AP32" i="1"/>
  <c r="AR32" i="1"/>
  <c r="AS32" i="1"/>
  <c r="AU32" i="1"/>
  <c r="AW32" i="1"/>
  <c r="AX32" i="1"/>
  <c r="H32" i="1"/>
  <c r="BF70" i="1"/>
  <c r="BI32" i="1" l="1"/>
  <c r="AM56" i="1"/>
  <c r="AM34" i="1" s="1"/>
  <c r="AI56" i="1"/>
  <c r="AI34" i="1" s="1"/>
  <c r="AH56" i="1"/>
  <c r="AH34" i="1" s="1"/>
  <c r="N56" i="1"/>
  <c r="N34" i="1" s="1"/>
  <c r="BF32" i="1"/>
  <c r="AK56" i="1"/>
  <c r="AK34" i="1" s="1"/>
  <c r="H56" i="1"/>
  <c r="AP56" i="1"/>
  <c r="AP34" i="1" s="1"/>
  <c r="L56" i="1"/>
  <c r="L34" i="1" s="1"/>
  <c r="I56" i="1"/>
  <c r="I34" i="1" s="1"/>
  <c r="AN56" i="1"/>
  <c r="AN34" i="1" s="1"/>
  <c r="V56" i="1"/>
  <c r="V34" i="1" s="1"/>
  <c r="I28" i="1" l="1"/>
  <c r="L28" i="1"/>
  <c r="L26" i="1" s="1"/>
  <c r="H34" i="1"/>
  <c r="H28" i="1"/>
  <c r="H26" i="1" s="1"/>
  <c r="AK28" i="1"/>
  <c r="AK26" i="1" s="1"/>
  <c r="N28" i="1"/>
  <c r="AP28" i="1"/>
  <c r="AP26" i="1" s="1"/>
  <c r="V28" i="1"/>
  <c r="V26" i="1" s="1"/>
  <c r="AH28" i="1"/>
  <c r="AH26" i="1" s="1"/>
  <c r="AI28" i="1"/>
  <c r="AI26" i="1" s="1"/>
  <c r="AM28" i="1"/>
  <c r="AM26" i="1" s="1"/>
  <c r="AN28" i="1"/>
  <c r="AN26" i="1" s="1"/>
  <c r="BD84" i="1"/>
  <c r="BD83" i="1" s="1"/>
  <c r="BA69" i="1"/>
  <c r="BA68" i="1"/>
  <c r="BA67" i="1"/>
  <c r="BA58" i="1" s="1"/>
  <c r="BA84" i="1" l="1"/>
  <c r="BA83" i="1" s="1"/>
  <c r="BD32" i="1"/>
  <c r="BA32" i="1"/>
  <c r="AY32" i="1"/>
  <c r="AV32" i="1" l="1"/>
  <c r="BW72" i="1" l="1"/>
  <c r="BV72" i="1"/>
  <c r="AQ112" i="1"/>
  <c r="AG112" i="1"/>
  <c r="O112" i="1" s="1"/>
  <c r="O109" i="1" s="1"/>
  <c r="I32" i="1" l="1"/>
  <c r="I26" i="1" s="1"/>
  <c r="Q112" i="1"/>
  <c r="BX112" i="1"/>
  <c r="AT32" i="1"/>
  <c r="AG111" i="1"/>
  <c r="AQ71" i="1"/>
  <c r="AJ32" i="1"/>
  <c r="AG71" i="1"/>
  <c r="AG86" i="1"/>
  <c r="AG85" i="1"/>
  <c r="O85" i="1" s="1"/>
  <c r="AG72" i="1"/>
  <c r="P112" i="1" l="1"/>
  <c r="P109" i="1" s="1"/>
  <c r="P32" i="1" s="1"/>
  <c r="Q109" i="1"/>
  <c r="Q32" i="1" s="1"/>
  <c r="BU112" i="1"/>
  <c r="BX109" i="1"/>
  <c r="BX32" i="1" s="1"/>
  <c r="O32" i="1"/>
  <c r="R112" i="1"/>
  <c r="Q85" i="1"/>
  <c r="P85" i="1" s="1"/>
  <c r="P84" i="1" s="1"/>
  <c r="P83" i="1" s="1"/>
  <c r="BX85" i="1"/>
  <c r="BU85" i="1" s="1"/>
  <c r="O84" i="1"/>
  <c r="O83" i="1" s="1"/>
  <c r="AG84" i="1"/>
  <c r="AG83" i="1" s="1"/>
  <c r="M84" i="1"/>
  <c r="M83" i="1" s="1"/>
  <c r="AQ111" i="1"/>
  <c r="AJ84" i="1"/>
  <c r="AJ83" i="1" s="1"/>
  <c r="AG110" i="1"/>
  <c r="AG109" i="1" s="1"/>
  <c r="AQ64" i="1"/>
  <c r="O64" i="1" s="1"/>
  <c r="R109" i="1" l="1"/>
  <c r="R32" i="1" s="1"/>
  <c r="AQ109" i="1"/>
  <c r="AQ32" i="1" s="1"/>
  <c r="BU109" i="1"/>
  <c r="BU32" i="1" s="1"/>
  <c r="BX84" i="1"/>
  <c r="R85" i="1"/>
  <c r="R84" i="1" s="1"/>
  <c r="R83" i="1" s="1"/>
  <c r="Q84" i="1"/>
  <c r="Q83" i="1" s="1"/>
  <c r="Q64" i="1"/>
  <c r="BU64" i="1"/>
  <c r="AT57" i="1"/>
  <c r="AQ63" i="1"/>
  <c r="O63" i="1" s="1"/>
  <c r="AG62" i="1"/>
  <c r="AG61" i="1"/>
  <c r="O61" i="1" s="1"/>
  <c r="BJ60" i="1"/>
  <c r="BJ59" i="1" s="1"/>
  <c r="BI60" i="1"/>
  <c r="BH60" i="1"/>
  <c r="BH59" i="1" s="1"/>
  <c r="BH58" i="1" s="1"/>
  <c r="BG60" i="1"/>
  <c r="BG59" i="1" s="1"/>
  <c r="BF60" i="1"/>
  <c r="BF59" i="1" s="1"/>
  <c r="BE60" i="1"/>
  <c r="BE59" i="1" s="1"/>
  <c r="BD57" i="1"/>
  <c r="BC60" i="1"/>
  <c r="BC59" i="1" s="1"/>
  <c r="BB60" i="1"/>
  <c r="BB59" i="1" s="1"/>
  <c r="BA57" i="1"/>
  <c r="AZ60" i="1"/>
  <c r="AZ59" i="1" s="1"/>
  <c r="AX60" i="1"/>
  <c r="AX59" i="1" s="1"/>
  <c r="AW60" i="1"/>
  <c r="AU60" i="1"/>
  <c r="AU59" i="1" s="1"/>
  <c r="AU58" i="1" s="1"/>
  <c r="AS60" i="1"/>
  <c r="AS59" i="1" s="1"/>
  <c r="AS58" i="1" s="1"/>
  <c r="AR60" i="1"/>
  <c r="AR59" i="1" s="1"/>
  <c r="AR58" i="1" s="1"/>
  <c r="AG60" i="1"/>
  <c r="BI27" i="1"/>
  <c r="O58" i="1" l="1"/>
  <c r="BI59" i="1"/>
  <c r="BX60" i="1"/>
  <c r="AX58" i="1"/>
  <c r="AX57" i="1" s="1"/>
  <c r="AX56" i="1" s="1"/>
  <c r="BB58" i="1"/>
  <c r="BB57" i="1" s="1"/>
  <c r="BB56" i="1" s="1"/>
  <c r="BE58" i="1"/>
  <c r="BE57" i="1" s="1"/>
  <c r="BE56" i="1" s="1"/>
  <c r="BJ58" i="1"/>
  <c r="BJ57" i="1" s="1"/>
  <c r="BJ56" i="1" s="1"/>
  <c r="BF58" i="1"/>
  <c r="BF57" i="1" s="1"/>
  <c r="BF56" i="1" s="1"/>
  <c r="BF34" i="1" s="1"/>
  <c r="AZ58" i="1"/>
  <c r="AZ57" i="1" s="1"/>
  <c r="AZ56" i="1" s="1"/>
  <c r="BC58" i="1"/>
  <c r="BC57" i="1" s="1"/>
  <c r="BC56" i="1" s="1"/>
  <c r="BG58" i="1"/>
  <c r="BG57" i="1" s="1"/>
  <c r="BG56" i="1" s="1"/>
  <c r="R61" i="1"/>
  <c r="S61" i="1" s="1"/>
  <c r="R64" i="1"/>
  <c r="S64" i="1" s="1"/>
  <c r="T64" i="1" s="1"/>
  <c r="P64" i="1"/>
  <c r="AW59" i="1"/>
  <c r="AV60" i="1"/>
  <c r="AQ59" i="1"/>
  <c r="AQ58" i="1" s="1"/>
  <c r="BU84" i="1"/>
  <c r="BU83" i="1" s="1"/>
  <c r="BX83" i="1"/>
  <c r="Q61" i="1"/>
  <c r="BU61" i="1"/>
  <c r="Q63" i="1"/>
  <c r="BU63" i="1"/>
  <c r="BU60" i="1"/>
  <c r="AG59" i="1"/>
  <c r="AG58" i="1" s="1"/>
  <c r="M56" i="1"/>
  <c r="M34" i="1" s="1"/>
  <c r="BV85" i="1"/>
  <c r="BV67" i="1" s="1"/>
  <c r="BV68" i="1"/>
  <c r="BW85" i="1"/>
  <c r="BW67" i="1" s="1"/>
  <c r="BW68" i="1"/>
  <c r="AV27" i="1"/>
  <c r="BA56" i="1"/>
  <c r="BA34" i="1" s="1"/>
  <c r="BF27" i="1"/>
  <c r="BD27" i="1"/>
  <c r="BD56" i="1"/>
  <c r="BD34" i="1" s="1"/>
  <c r="AT27" i="1"/>
  <c r="AT56" i="1"/>
  <c r="AT34" i="1" s="1"/>
  <c r="AQ27" i="1"/>
  <c r="AV59" i="1" l="1"/>
  <c r="AW58" i="1"/>
  <c r="AW57" i="1" s="1"/>
  <c r="AW56" i="1" s="1"/>
  <c r="AW34" i="1" s="1"/>
  <c r="BW58" i="1"/>
  <c r="AV58" i="1"/>
  <c r="AV57" i="1" s="1"/>
  <c r="AV56" i="1" s="1"/>
  <c r="AV34" i="1" s="1"/>
  <c r="BX59" i="1"/>
  <c r="BX58" i="1" s="1"/>
  <c r="BI58" i="1"/>
  <c r="BI57" i="1" s="1"/>
  <c r="BI56" i="1" s="1"/>
  <c r="BI34" i="1" s="1"/>
  <c r="P61" i="1"/>
  <c r="Q58" i="1"/>
  <c r="Q57" i="1" s="1"/>
  <c r="Q56" i="1" s="1"/>
  <c r="Q34" i="1" s="1"/>
  <c r="BV58" i="1"/>
  <c r="BG28" i="1"/>
  <c r="BG34" i="1"/>
  <c r="AW28" i="1"/>
  <c r="BB28" i="1"/>
  <c r="BB26" i="1" s="1"/>
  <c r="BB34" i="1"/>
  <c r="AZ28" i="1"/>
  <c r="AZ26" i="1" s="1"/>
  <c r="AZ34" i="1"/>
  <c r="AX28" i="1"/>
  <c r="AX26" i="1" s="1"/>
  <c r="AX34" i="1"/>
  <c r="BE28" i="1"/>
  <c r="BE34" i="1"/>
  <c r="BC28" i="1"/>
  <c r="BC34" i="1"/>
  <c r="BJ28" i="1"/>
  <c r="BJ34" i="1"/>
  <c r="R63" i="1"/>
  <c r="S63" i="1" s="1"/>
  <c r="T63" i="1" s="1"/>
  <c r="P63" i="1"/>
  <c r="BF28" i="1"/>
  <c r="BF26" i="1" s="1"/>
  <c r="M28" i="1"/>
  <c r="BA28" i="1"/>
  <c r="BA26" i="1" s="1"/>
  <c r="BD28" i="1"/>
  <c r="BD26" i="1" s="1"/>
  <c r="AT28" i="1"/>
  <c r="AT26" i="1" s="1"/>
  <c r="AR57" i="1"/>
  <c r="AR56" i="1" s="1"/>
  <c r="AJ57" i="1"/>
  <c r="AJ56" i="1" s="1"/>
  <c r="AJ34" i="1" s="1"/>
  <c r="AS57" i="1"/>
  <c r="AS56" i="1" s="1"/>
  <c r="AU57" i="1"/>
  <c r="AU56" i="1" s="1"/>
  <c r="AQ57" i="1"/>
  <c r="AQ56" i="1" s="1"/>
  <c r="AQ34" i="1" s="1"/>
  <c r="AW53" i="1"/>
  <c r="AW27" i="1" s="1"/>
  <c r="BG53" i="1"/>
  <c r="BG27" i="1" s="1"/>
  <c r="BE53" i="1"/>
  <c r="BE27" i="1" s="1"/>
  <c r="AX53" i="1"/>
  <c r="BJ53" i="1"/>
  <c r="BJ27" i="1" s="1"/>
  <c r="BB53" i="1"/>
  <c r="BH57" i="1"/>
  <c r="BH56" i="1" s="1"/>
  <c r="BC53" i="1"/>
  <c r="BC27" i="1" s="1"/>
  <c r="BC26" i="1" s="1"/>
  <c r="AZ53" i="1"/>
  <c r="O57" i="1"/>
  <c r="O56" i="1" s="1"/>
  <c r="AP37" i="1"/>
  <c r="AO37" i="1"/>
  <c r="AN37" i="1"/>
  <c r="AM37" i="1"/>
  <c r="AL37" i="1"/>
  <c r="AK37" i="1"/>
  <c r="AJ37" i="1"/>
  <c r="AI37" i="1"/>
  <c r="AH37" i="1"/>
  <c r="AG37" i="1"/>
  <c r="V37" i="1"/>
  <c r="U37" i="1"/>
  <c r="R37" i="1"/>
  <c r="O37" i="1"/>
  <c r="N37" i="1"/>
  <c r="M37" i="1"/>
  <c r="L37" i="1"/>
  <c r="K37" i="1"/>
  <c r="AP38" i="1"/>
  <c r="AN38" i="1"/>
  <c r="AM38" i="1"/>
  <c r="AK38" i="1"/>
  <c r="AJ38" i="1"/>
  <c r="AI38" i="1"/>
  <c r="AH38" i="1"/>
  <c r="AG38" i="1"/>
  <c r="U38" i="1"/>
  <c r="R38" i="1"/>
  <c r="O38" i="1"/>
  <c r="N38" i="1"/>
  <c r="M38" i="1"/>
  <c r="L38" i="1"/>
  <c r="AL38" i="1"/>
  <c r="K38" i="1"/>
  <c r="O34" i="1" l="1"/>
  <c r="O28" i="1"/>
  <c r="AW26" i="1"/>
  <c r="BU59" i="1"/>
  <c r="BU58" i="1" s="1"/>
  <c r="R58" i="1"/>
  <c r="R57" i="1" s="1"/>
  <c r="R56" i="1" s="1"/>
  <c r="R34" i="1" s="1"/>
  <c r="AV28" i="1"/>
  <c r="AV26" i="1" s="1"/>
  <c r="BJ26" i="1"/>
  <c r="P58" i="1"/>
  <c r="P57" i="1" s="1"/>
  <c r="P56" i="1" s="1"/>
  <c r="BG26" i="1"/>
  <c r="S58" i="1"/>
  <c r="BE26" i="1"/>
  <c r="AS28" i="1"/>
  <c r="AS34" i="1"/>
  <c r="AR28" i="1"/>
  <c r="AR34" i="1"/>
  <c r="BH28" i="1"/>
  <c r="BH34" i="1"/>
  <c r="AU28" i="1"/>
  <c r="AU34" i="1"/>
  <c r="AQ28" i="1"/>
  <c r="AQ26" i="1" s="1"/>
  <c r="O26" i="1"/>
  <c r="AJ28" i="1"/>
  <c r="AJ26" i="1" s="1"/>
  <c r="BI28" i="1"/>
  <c r="BI26" i="1" s="1"/>
  <c r="AU53" i="1"/>
  <c r="AU27" i="1" s="1"/>
  <c r="AS53" i="1"/>
  <c r="AS27" i="1" s="1"/>
  <c r="AR53" i="1"/>
  <c r="AR27" i="1" s="1"/>
  <c r="BH53" i="1"/>
  <c r="BH27" i="1" s="1"/>
  <c r="BW57" i="1"/>
  <c r="BW56" i="1" s="1"/>
  <c r="BW34" i="1" s="1"/>
  <c r="BV57" i="1"/>
  <c r="BV56" i="1" s="1"/>
  <c r="BV34" i="1" s="1"/>
  <c r="AY57" i="1"/>
  <c r="AY56" i="1" s="1"/>
  <c r="AY34" i="1" s="1"/>
  <c r="T61" i="1"/>
  <c r="T58" i="1" s="1"/>
  <c r="V38" i="1"/>
  <c r="AO38" i="1"/>
  <c r="AS26" i="1" l="1"/>
  <c r="P28" i="1"/>
  <c r="P26" i="1" s="1"/>
  <c r="P34" i="1"/>
  <c r="BH26" i="1"/>
  <c r="AU26" i="1"/>
  <c r="AY28" i="1"/>
  <c r="AY26" i="1" s="1"/>
  <c r="BW28" i="1"/>
  <c r="BW26" i="1" s="1"/>
  <c r="Q28" i="1"/>
  <c r="Q26" i="1" s="1"/>
  <c r="BV28" i="1"/>
  <c r="BV26" i="1" s="1"/>
  <c r="R28" i="1"/>
  <c r="R26" i="1" s="1"/>
  <c r="AR26" i="1"/>
  <c r="S57" i="1"/>
  <c r="S56" i="1" s="1"/>
  <c r="S34" i="1" s="1"/>
  <c r="BX57" i="1"/>
  <c r="BX56" i="1" s="1"/>
  <c r="BX34" i="1" s="1"/>
  <c r="BU57" i="1"/>
  <c r="U61" i="1"/>
  <c r="U58" i="1" s="1"/>
  <c r="BU56" i="1" l="1"/>
  <c r="BX28" i="1"/>
  <c r="BX26" i="1" s="1"/>
  <c r="S28" i="1"/>
  <c r="S26" i="1" s="1"/>
  <c r="U57" i="1"/>
  <c r="U56" i="1" s="1"/>
  <c r="U34" i="1" s="1"/>
  <c r="T57" i="1"/>
  <c r="T56" i="1" s="1"/>
  <c r="T34" i="1" s="1"/>
  <c r="AO56" i="1"/>
  <c r="AO34" i="1" s="1"/>
  <c r="BU34" i="1" l="1"/>
  <c r="BU28" i="1"/>
  <c r="BU26" i="1" s="1"/>
  <c r="T28" i="1"/>
  <c r="T26" i="1" s="1"/>
  <c r="AO28" i="1"/>
  <c r="U28" i="1"/>
  <c r="U26" i="1" s="1"/>
  <c r="O53" i="1"/>
  <c r="N53" i="1"/>
  <c r="N27" i="1" s="1"/>
  <c r="N26" i="1" s="1"/>
  <c r="M53" i="1"/>
  <c r="M27" i="1" s="1"/>
  <c r="M26" i="1" s="1"/>
  <c r="K53" i="1"/>
  <c r="I53" i="1"/>
  <c r="L53" i="1" l="1"/>
  <c r="AL53" i="1"/>
  <c r="AL27" i="1" s="1"/>
  <c r="AO53" i="1" l="1"/>
  <c r="AO27" i="1" s="1"/>
  <c r="AO26" i="1" s="1"/>
  <c r="AL32" i="1" l="1"/>
  <c r="AG32" i="1" l="1"/>
  <c r="AG57" i="1" l="1"/>
  <c r="AG56" i="1" s="1"/>
  <c r="AG34" i="1" s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AG28" i="1" l="1"/>
  <c r="AG26" i="1" s="1"/>
  <c r="AL57" i="1" l="1"/>
  <c r="AL56" i="1" s="1"/>
  <c r="AL34" i="1" s="1"/>
  <c r="AL28" i="1" l="1"/>
  <c r="AL26" i="1" s="1"/>
</calcChain>
</file>

<file path=xl/sharedStrings.xml><?xml version="1.0" encoding="utf-8"?>
<sst xmlns="http://schemas.openxmlformats.org/spreadsheetml/2006/main" count="2061" uniqueCount="299">
  <si>
    <t>Приложение  № 2</t>
  </si>
  <si>
    <t>к приказу Минэнерго России</t>
  </si>
  <si>
    <t>от «__» _____ 2016 г. №___</t>
  </si>
  <si>
    <t>Утверждаю</t>
  </si>
  <si>
    <t xml:space="preserve">Директор филиала </t>
  </si>
  <si>
    <t>ООО ХК "СДС-Энерго"-</t>
  </si>
  <si>
    <t>"Прокопьевскэнерго"</t>
  </si>
  <si>
    <t>__________С.М. Бутиков</t>
  </si>
  <si>
    <t>"__"_________2017 года</t>
  </si>
  <si>
    <t>Инвестиционная программа Общества с ограниченной ответственностью Холдинговая Компания "СДС-Энерго"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</si>
  <si>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</si>
  <si>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</si>
  <si>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</si>
  <si>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Текущая стадия реализации инвестиционного проекта</t>
  </si>
  <si>
    <t>Год начала 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</si>
  <si>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</si>
  <si>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Размер платы за технологическое присоединение (подключение), млн рублей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</si>
  <si>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</si>
  <si>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Оценка полной стоимости инвестиционного проекта в прогнозных ценах соответствующих лет, млн рублей (с НДС) </t>
  </si>
  <si>
    <t>План</t>
  </si>
  <si>
    <t>Предложение по корректировке утвержденного плана</t>
  </si>
  <si>
    <r>
      <t>План (Утвержденный план)</t>
    </r>
    <r>
      <rPr>
        <vertAlign val="superscript"/>
        <sz val="12"/>
        <rFont val="Times New Roman"/>
        <family val="1"/>
        <charset val="204"/>
      </rPr>
      <t xml:space="preserve">2)  </t>
    </r>
    <r>
      <rPr>
        <sz val="12"/>
        <rFont val="Times New Roman"/>
        <family val="1"/>
        <charset val="204"/>
      </rPr>
      <t xml:space="preserve">
года (N+2)</t>
    </r>
    <r>
      <rPr>
        <vertAlign val="superscript"/>
        <sz val="12"/>
        <rFont val="Times New Roman"/>
        <family val="1"/>
        <charset val="204"/>
      </rPr>
      <t>3)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</si>
  <si>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 xml:space="preserve">
года (N+2)</t>
    </r>
  </si>
  <si>
    <t>Итого за период реализации инвестиционной программы
(план)</t>
  </si>
  <si>
    <t xml:space="preserve">План 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</si>
  <si>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</si>
  <si>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</si>
  <si>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</si>
  <si>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 xml:space="preserve">в текущих ценах, млн рублей (с НДС) </t>
  </si>
  <si>
    <t xml:space="preserve">в прогнозных ценах соответствующих лет, млн рублей 
(с НДС) 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</si>
  <si>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</si>
  <si>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</si>
  <si>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</si>
  <si>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</si>
  <si>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</si>
  <si>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</si>
  <si>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</si>
  <si>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</si>
  <si>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</si>
  <si>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</si>
  <si>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</si>
  <si>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</si>
  <si>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</si>
  <si>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</si>
  <si>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</si>
  <si>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</si>
  <si>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</si>
  <si>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</si>
  <si>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</si>
  <si>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</si>
  <si>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</si>
  <si>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</si>
  <si>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</si>
  <si>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</si>
  <si>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</si>
  <si>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</si>
  <si>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</si>
  <si>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</si>
  <si>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</si>
  <si>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</si>
  <si>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</si>
  <si>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</si>
  <si>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</si>
  <si>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</si>
  <si>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</si>
  <si>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</si>
  <si>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</si>
  <si>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</si>
  <si>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</si>
  <si>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</si>
  <si>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</si>
  <si>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</si>
  <si>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</si>
  <si>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</si>
  <si>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</si>
  <si>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</si>
  <si>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</si>
  <si>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</si>
  <si>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</si>
  <si>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</si>
  <si>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</si>
  <si>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</si>
  <si>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</si>
  <si>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</si>
  <si>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</si>
  <si>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</si>
  <si>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</si>
  <si>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</si>
  <si>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</si>
  <si>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</si>
  <si>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</si>
  <si>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</si>
  <si>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</si>
  <si>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</si>
  <si>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</si>
  <si>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</si>
  <si>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</si>
  <si>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</si>
  <si>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</si>
  <si>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</si>
  <si>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</si>
  <si>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</si>
  <si>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</si>
  <si>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</si>
  <si>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</si>
  <si>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</si>
  <si>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</si>
  <si>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</si>
  <si>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</si>
  <si>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</si>
  <si>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</si>
  <si>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</si>
  <si>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</si>
  <si>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</si>
  <si>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</si>
  <si>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</si>
  <si>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</si>
  <si>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нд</t>
  </si>
  <si>
    <t>1.6.1</t>
  </si>
  <si>
    <t>1.6.2</t>
  </si>
  <si>
    <t>1.2.1.1.1</t>
  </si>
  <si>
    <t>1.2.1.1.2</t>
  </si>
  <si>
    <t>1.2.1.1.3</t>
  </si>
  <si>
    <t>Кемеровская область</t>
  </si>
  <si>
    <t>1.6.3</t>
  </si>
  <si>
    <t>Н</t>
  </si>
  <si>
    <t>Г</t>
  </si>
  <si>
    <t xml:space="preserve">Остаток финансирования капитальных вложений в прогнозных ценах соответствующих лет,  
млн рублей 
(с НДС) </t>
  </si>
  <si>
    <t>реквизиты решения органа исполнительной власти, утвердившего инвестиционную программу</t>
  </si>
  <si>
    <t>Год окончания реализации инвестиционного проекта</t>
  </si>
  <si>
    <t>1.2.1.1.4</t>
  </si>
  <si>
    <t>1.2.1.1.5</t>
  </si>
  <si>
    <t>1.2.1.1.6</t>
  </si>
  <si>
    <t>Идентификатор инвестиционного проекта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</si>
  <si>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</si>
  <si>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</si>
  <si>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</si>
  <si>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</si>
  <si>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</si>
  <si>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</si>
  <si>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</si>
  <si>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</si>
  <si>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 xml:space="preserve">Утвержденные плановые значения показателей приведены в соответствии с </t>
  </si>
  <si>
    <t>1.2.2.1.1</t>
  </si>
  <si>
    <t>1.2.2.1.2</t>
  </si>
  <si>
    <t xml:space="preserve">План 
на 01.01.2024 года 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</si>
  <si>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</si>
  <si>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</si>
  <si>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 xml:space="preserve">План 
на 01.01.2025 года </t>
  </si>
  <si>
    <t xml:space="preserve">План 
на 01.01.2026 года </t>
  </si>
  <si>
    <t xml:space="preserve">План 
на 01.01.2027 года </t>
  </si>
  <si>
    <t xml:space="preserve">План 
на 01.01.2028 года </t>
  </si>
  <si>
    <t xml:space="preserve">План 
на 01.01.2029 года </t>
  </si>
  <si>
    <t xml:space="preserve"> План 2025 г.</t>
  </si>
  <si>
    <t xml:space="preserve"> План 2026 г.</t>
  </si>
  <si>
    <t xml:space="preserve"> План 2027 г.</t>
  </si>
  <si>
    <t>План 2028 г.</t>
  </si>
  <si>
    <t>План 2029 г.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</si>
  <si>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</si>
  <si>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</si>
  <si>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ноябрь 2023 г.</t>
  </si>
  <si>
    <t>Реконструкция РУ-6 кВ, РЗА  ПС 35/6 кВ № 41 с установкой блок-модулей 1, 2 сек.6 кВ с ОПУ (ПИР - 2016 г., СМР, ввод - 2025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</si>
  <si>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</si>
  <si>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</si>
  <si>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</si>
  <si>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</si>
  <si>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</si>
  <si>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разъединителей 110 кВ на ПС 110/35/6 кВ  № 37 (СМР, ввод - 2026 г.)</t>
  </si>
  <si>
    <t>Замена аккумуляторных батарей и зарядного устройства на ПС 110/35/6 кВ № 37 (СМР, ввод - 2026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</si>
  <si>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</si>
  <si>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</si>
  <si>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</si>
  <si>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</si>
  <si>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1.2.2.2.1</t>
  </si>
  <si>
    <t>Дооборудование ВЛ 10 кВ 10-20-МП с установкой 1 реклоузера (ПИР, СМР, ввод - 2025 г.)</t>
  </si>
  <si>
    <t>1.2.2.2.2</t>
  </si>
  <si>
    <t>Дооборудование ВЛ 10 кВ 10-18-П отпайка с установкой 1 реклоузера (ПИР, СМР, ввод - 2025 г.)</t>
  </si>
  <si>
    <t>1.2.2.2.3</t>
  </si>
  <si>
    <t>Приобретение прибора миллиомметра МИКО-8МА (Ввод - 2026 г.)</t>
  </si>
  <si>
    <t>октябрь 2023 г.</t>
  </si>
  <si>
    <t>Замена сервера в Филиале ООО ХК "СДС-Энерго"-"Прокопьевскэнерго" (Ввод - 2027 г.)</t>
  </si>
  <si>
    <t>Приобретение сварочного генератора (ввод - 2025 г.)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</si>
  <si>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</si>
  <si>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</si>
  <si>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</si>
  <si>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</si>
  <si>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</si>
  <si>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</si>
  <si>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</si>
  <si>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</si>
  <si>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</si>
  <si>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</si>
  <si>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</si>
  <si>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</si>
  <si>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</si>
  <si>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Обновление аппаратно-программного комплекса</t>
  </si>
  <si>
    <t>Строительство сетей 0,4 кВ на промплощадке Филиала ООО ХК "СДС-Энерго"-"Прокопьевскэнерго" (ПИР, СМР, ввод - 2026 г.)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</si>
  <si>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</si>
  <si>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</si>
  <si>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</si>
  <si>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O_1.2.1.1.2</t>
  </si>
  <si>
    <t>O_1.2.1.1.3</t>
  </si>
  <si>
    <t>O_1.2.1.1.4</t>
  </si>
  <si>
    <t>O_1.2.1.1.5</t>
  </si>
  <si>
    <t>O_1.2.1.1.6</t>
  </si>
  <si>
    <t>O_1.2.1.1.7</t>
  </si>
  <si>
    <t>O_1.2.1.1.8</t>
  </si>
  <si>
    <t>O_1.2.1.1.9</t>
  </si>
  <si>
    <t>O_1.2.1.1.10</t>
  </si>
  <si>
    <t>O_1.2.1.1.11</t>
  </si>
  <si>
    <t>O_1.2.1.1.12</t>
  </si>
  <si>
    <t>O_1.2.1.1.13</t>
  </si>
  <si>
    <t>O_1.2.1.1.14</t>
  </si>
  <si>
    <t>O_1.2.2.1.1</t>
  </si>
  <si>
    <t>O_1.2.2.1.2</t>
  </si>
  <si>
    <t>O_1.2.2.2.1</t>
  </si>
  <si>
    <t>O_1.2.2.2.2</t>
  </si>
  <si>
    <t>O_1.2.2.2.3</t>
  </si>
  <si>
    <t>O_1.6.1</t>
  </si>
  <si>
    <t>O_1.6.2</t>
  </si>
  <si>
    <t>O_1.6.3</t>
  </si>
  <si>
    <t>Год раскрытия информации: 2024 год</t>
  </si>
  <si>
    <t>Форма 2. План финансирования капитальных вложений по инвестиционным проектам на 2024 - 2029 гг.</t>
  </si>
  <si>
    <t>Строительство ЛЭП-6 кВ от линейной ячейки №8 ПС 35 кВ №5 (СМР, ввод - 2024 г.)</t>
  </si>
  <si>
    <t>O_1.1.1.3.1</t>
  </si>
  <si>
    <t>1.1.1.3.1</t>
  </si>
  <si>
    <t>С</t>
  </si>
  <si>
    <t xml:space="preserve">Фактический объем финансирования на 01.01.2023 года, млн рублей 
(с НДС) </t>
  </si>
  <si>
    <t xml:space="preserve">План 
на 01.01.2023 года </t>
  </si>
  <si>
    <t>Финансирование капитальных вложений на 2024 - 2029
годы в прогнозных ценах, млн рублей (с НДС)</t>
  </si>
  <si>
    <t>Финансирование капитальных вложений 
2023 года в прогнозных ценах, млн рублей (с НДС)</t>
  </si>
  <si>
    <t xml:space="preserve"> План 2024 г.</t>
  </si>
  <si>
    <t>Осуществление технологического присоединения</t>
  </si>
  <si>
    <t>Реконструкция ОРУ-35 кВ ПС 35/6 кВ № 41 с установкой блок-модуля 35 кВ (СМР, ПНР, ввод - 2024 г.)</t>
  </si>
  <si>
    <t>O_1.2.1.1.15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</si>
  <si>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</si>
  <si>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</si>
  <si>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</si>
  <si>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</si>
  <si>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</si>
  <si>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</si>
  <si>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</si>
  <si>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</si>
  <si>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</si>
  <si>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Замена КТП 160 кВА типа КТПН-ВК-1А-63/10/0,4 (инв.№ 00001390)  на ТП "Ключи" без силового трансформатора (СМР, ПНР, ввод - 2024 г.)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</si>
  <si>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</si>
  <si>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</si>
  <si>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Трансформатора Т-1 типа ТМ-1600кВА (инв.№ 00002155) ПС №29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</si>
  <si>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</si>
  <si>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</si>
  <si>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O_1.2.1.1.18</t>
  </si>
  <si>
    <t>O_1.2.1.1.19</t>
  </si>
  <si>
    <t>O_1.2.1.1.20</t>
  </si>
  <si>
    <t>O_1.2.1.1.21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</si>
  <si>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</si>
  <si>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Реконструкция ЗРУ-35 кВ ПС 35/6 кВ "ОГР" с заменой ячеек КРУ-35. (ПИР - 2022 г.СМР, ПНР, ввод - 2024 г.)</t>
  </si>
  <si>
    <t>O_1.2.1.1.22</t>
  </si>
  <si>
    <t>O_1.2.1.1.23</t>
  </si>
  <si>
    <t>M_1.2.1.1.13</t>
  </si>
  <si>
    <t>N_1.2.1.1.17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</si>
  <si>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</si>
  <si>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</si>
  <si>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</si>
  <si>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</si>
  <si>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</si>
  <si>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</si>
  <si>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</si>
  <si>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Замена МФУ (ввод - 2024 г.)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</si>
  <si>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</si>
  <si>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Модернизация корпоративной системы электронного документооборота DIRECTUM RX (ввод - 2024 г.)</t>
  </si>
  <si>
    <t>O_1.6.4</t>
  </si>
  <si>
    <t>O_1.6.5</t>
  </si>
  <si>
    <t>O_1.6.6</t>
  </si>
  <si>
    <t>декабрь 2023 г.</t>
  </si>
  <si>
    <t>Выполнение требований нормативно-правовых актов</t>
  </si>
  <si>
    <t>январь 2024 г.</t>
  </si>
  <si>
    <t>O_1.6.7</t>
  </si>
  <si>
    <t>Приобретение измельчителя веток (мульчер) на базе автомобильного прицепа (ввод - 2024 г.)</t>
  </si>
  <si>
    <t>июль 2023 г.</t>
  </si>
  <si>
    <t>Факт 2023 г.</t>
  </si>
  <si>
    <t>Краткое обоснование  корректировки утвержденного плана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</si>
  <si>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</si>
  <si>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</si>
  <si>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</si>
  <si>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</si>
  <si>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</si>
  <si>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</si>
  <si>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</si>
  <si>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</si>
  <si>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</si>
  <si>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</si>
  <si>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</si>
  <si>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</si>
  <si>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</si>
  <si>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</si>
  <si>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</si>
  <si>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</si>
  <si>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</si>
  <si>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17.09.2024 09:32:01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</si>
</sst>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0"/>
    <numFmt numFmtId="166" formatCode="0.0000000000"/>
    <numFmt numFmtId="167" formatCode="0.000000"/>
    <numFmt numFmtId="168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Alignment="1">
      <alignment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5" xfId="1" applyFont="1" applyFill="1" applyBorder="1" applyAlignment="1">
      <alignment horizontal="center" vertical="center" textRotation="90" wrapText="1"/>
    </xf>
    <xf numFmtId="0" fontId="2" fillId="0" borderId="9" xfId="1" applyFont="1" applyFill="1" applyBorder="1" applyAlignment="1">
      <alignment horizontal="center" vertical="center" textRotation="90" wrapText="1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 textRotation="90" wrapText="1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vertical="top"/>
    </xf>
    <xf numFmtId="164" fontId="2" fillId="0" borderId="0" xfId="1" applyNumberFormat="1" applyFont="1" applyFill="1"/>
    <xf numFmtId="167" fontId="2" fillId="0" borderId="0" xfId="1" applyNumberFormat="1" applyFont="1" applyFill="1"/>
    <xf numFmtId="166" fontId="2" fillId="0" borderId="0" xfId="1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textRotation="90" wrapText="1"/>
    </xf>
    <xf numFmtId="49" fontId="9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164" fontId="2" fillId="0" borderId="2" xfId="2" applyNumberFormat="1" applyFont="1" applyFill="1" applyBorder="1" applyAlignment="1">
      <alignment horizontal="center" vertical="center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/>
    <xf numFmtId="0" fontId="10" fillId="0" borderId="3" xfId="0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168" fontId="2" fillId="0" borderId="0" xfId="1" applyNumberFormat="1" applyFont="1" applyFill="1"/>
    <xf numFmtId="0" fontId="6" fillId="0" borderId="3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 applyAlignment="1">
      <alignment wrapText="1"/>
    </xf>
    <xf numFmtId="0" fontId="4" fillId="0" borderId="0" xfId="1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top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11" fillId="0" borderId="19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59D4810F-1A11-414F-908A-2DCE0259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35"/>
  <sheetViews>
    <sheetView view="pageBreakPreview" topLeftCell="A12" zoomScale="60" zoomScaleNormal="100" workbookViewId="0">
      <pane xSplit="16" ySplit="12" topLeftCell="AZ68" activePane="bottomRight" state="frozen"/>
      <selection activeCell="A12" sqref="A12"/>
      <selection pane="topRight" activeCell="Q12" sqref="Q12"/>
      <selection pane="bottomLeft" activeCell="A24" sqref="A24"/>
      <selection pane="bottomRight" activeCell="BU69" sqref="BU69"/>
    </sheetView>
  </sheetViews>
  <sheetFormatPr defaultRowHeight="15.75" x14ac:dyDescent="0.25"/>
  <cols>
    <col min="1" max="1" width="13.140625" style="1" customWidth="1"/>
    <col min="2" max="2" width="45.5703125" style="1" customWidth="1"/>
    <col min="3" max="3" width="15.85546875" style="1" customWidth="1"/>
    <col min="4" max="4" width="10.7109375" style="1" customWidth="1"/>
    <col min="5" max="5" width="10.42578125" style="1" customWidth="1"/>
    <col min="6" max="6" width="9" style="1" customWidth="1"/>
    <col min="7" max="7" width="15.140625" style="1" hidden="1" customWidth="1"/>
    <col min="8" max="8" width="12.7109375" style="1" customWidth="1"/>
    <col min="9" max="9" width="22" style="1" customWidth="1"/>
    <col min="10" max="10" width="12.28515625" style="1" customWidth="1"/>
    <col min="11" max="11" width="10.28515625" style="1" customWidth="1"/>
    <col min="12" max="12" width="11.85546875" style="1" customWidth="1"/>
    <col min="13" max="13" width="12.7109375" style="1" customWidth="1"/>
    <col min="14" max="14" width="11.85546875" style="1" customWidth="1"/>
    <col min="15" max="17" width="14.7109375" style="1" customWidth="1"/>
    <col min="18" max="18" width="10.5703125" style="1" customWidth="1"/>
    <col min="19" max="19" width="11.140625" style="1" customWidth="1"/>
    <col min="20" max="21" width="10.140625" style="1" customWidth="1"/>
    <col min="22" max="32" width="10.85546875" style="1" customWidth="1"/>
    <col min="33" max="33" width="13.42578125" style="1" customWidth="1"/>
    <col min="34" max="34" width="8.42578125" style="1" customWidth="1"/>
    <col min="35" max="35" width="15.85546875" style="1" customWidth="1"/>
    <col min="36" max="36" width="22.7109375" style="1" customWidth="1"/>
    <col min="37" max="37" width="10.7109375" style="1" customWidth="1"/>
    <col min="38" max="38" width="13.28515625" style="1" hidden="1" customWidth="1"/>
    <col min="39" max="39" width="10.140625" style="1" hidden="1" customWidth="1"/>
    <col min="40" max="40" width="17.5703125" style="1" hidden="1" customWidth="1"/>
    <col min="41" max="41" width="22.140625" style="1" hidden="1" customWidth="1"/>
    <col min="42" max="42" width="11.140625" style="1" hidden="1" customWidth="1"/>
    <col min="43" max="43" width="18.28515625" style="1" customWidth="1"/>
    <col min="44" max="44" width="11.42578125" style="1" customWidth="1"/>
    <col min="45" max="45" width="10.140625" style="1" customWidth="1"/>
    <col min="46" max="46" width="12.28515625" style="1" customWidth="1"/>
    <col min="47" max="47" width="9.7109375" style="1" customWidth="1"/>
    <col min="48" max="48" width="12.7109375" style="1" customWidth="1"/>
    <col min="49" max="49" width="9.5703125" style="1" customWidth="1"/>
    <col min="50" max="50" width="9.85546875" style="1" customWidth="1"/>
    <col min="51" max="51" width="11.7109375" style="1" customWidth="1"/>
    <col min="52" max="52" width="7.7109375" style="1" customWidth="1"/>
    <col min="53" max="53" width="12" style="1" customWidth="1"/>
    <col min="54" max="54" width="9.42578125" style="1" customWidth="1"/>
    <col min="55" max="55" width="10.140625" style="1" customWidth="1"/>
    <col min="56" max="56" width="11.85546875" style="1" customWidth="1"/>
    <col min="57" max="57" width="9" style="1" customWidth="1"/>
    <col min="58" max="58" width="12.85546875" style="1" customWidth="1"/>
    <col min="59" max="59" width="8.28515625" style="1" customWidth="1"/>
    <col min="60" max="60" width="10.5703125" style="1" customWidth="1"/>
    <col min="61" max="61" width="11.140625" style="1" customWidth="1"/>
    <col min="62" max="62" width="8.28515625" style="1" customWidth="1"/>
    <col min="63" max="64" width="8.28515625" style="1" hidden="1" customWidth="1"/>
    <col min="65" max="65" width="10" style="1" hidden="1" customWidth="1"/>
    <col min="66" max="66" width="11.140625" style="1" hidden="1" customWidth="1"/>
    <col min="67" max="69" width="8.28515625" style="1" hidden="1" customWidth="1"/>
    <col min="70" max="70" width="9.85546875" style="1" hidden="1" customWidth="1"/>
    <col min="71" max="71" width="11.7109375" style="1" hidden="1" customWidth="1"/>
    <col min="72" max="72" width="8.28515625" style="1" hidden="1" customWidth="1"/>
    <col min="73" max="73" width="11.85546875" style="1" customWidth="1"/>
    <col min="74" max="74" width="14.85546875" style="1" customWidth="1"/>
    <col min="75" max="75" width="10.85546875" style="1" customWidth="1"/>
    <col min="76" max="76" width="12.85546875" style="1" customWidth="1"/>
    <col min="77" max="77" width="8.42578125" style="1" customWidth="1"/>
    <col min="78" max="78" width="36.85546875" style="1" customWidth="1"/>
    <col min="79" max="16384" width="9.140625" style="1"/>
  </cols>
  <sheetData>
    <row r="1" spans="1:78" ht="123.75" hidden="1" customHeight="1" x14ac:dyDescent="0.25"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BZ1" s="10" t="s">
        <v>0</v>
      </c>
    </row>
    <row r="2" spans="1:78" ht="43.5" hidden="1" customHeight="1" x14ac:dyDescent="0.3"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BZ2" s="11" t="s">
        <v>1</v>
      </c>
    </row>
    <row r="3" spans="1:78" ht="52.5" hidden="1" customHeight="1" x14ac:dyDescent="0.3"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BZ3" s="11" t="s">
        <v>2</v>
      </c>
    </row>
    <row r="4" spans="1:78" ht="43.5" hidden="1" customHeight="1" x14ac:dyDescent="0.3"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N4" s="11"/>
    </row>
    <row r="5" spans="1:78" ht="46.5" hidden="1" customHeight="1" x14ac:dyDescent="0.3"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N5" s="11"/>
      <c r="AO5" s="2"/>
      <c r="AP5" s="2" t="s">
        <v>3</v>
      </c>
    </row>
    <row r="6" spans="1:78" ht="54" hidden="1" customHeight="1" x14ac:dyDescent="0.3"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N6" s="11"/>
      <c r="AO6" s="2"/>
      <c r="AP6" s="2" t="s">
        <v>4</v>
      </c>
    </row>
    <row r="7" spans="1:78" ht="36" hidden="1" customHeight="1" x14ac:dyDescent="0.3"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N7" s="11"/>
      <c r="AO7" s="2"/>
      <c r="AP7" s="2" t="s">
        <v>5</v>
      </c>
    </row>
    <row r="8" spans="1:78" ht="48.75" hidden="1" customHeight="1" x14ac:dyDescent="0.3"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N8" s="11"/>
      <c r="AO8" s="2"/>
      <c r="AP8" s="2" t="s">
        <v>6</v>
      </c>
    </row>
    <row r="9" spans="1:78" ht="39" hidden="1" customHeight="1" x14ac:dyDescent="0.3"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N9" s="11"/>
      <c r="AO9" s="2"/>
      <c r="AP9" s="2" t="s">
        <v>7</v>
      </c>
    </row>
    <row r="10" spans="1:78" ht="33.75" hidden="1" customHeight="1" x14ac:dyDescent="0.3"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N10" s="11"/>
      <c r="AO10" s="2"/>
      <c r="AP10" s="2"/>
    </row>
    <row r="11" spans="1:78" ht="39.75" hidden="1" customHeight="1" x14ac:dyDescent="0.3"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N11" s="11"/>
      <c r="AO11" s="2"/>
      <c r="AP11" s="2" t="s">
        <v>8</v>
      </c>
    </row>
    <row r="12" spans="1:78" ht="18.75" customHeight="1" x14ac:dyDescent="0.25">
      <c r="A12" s="59" t="s">
        <v>222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</row>
    <row r="13" spans="1:78" ht="18.75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</row>
    <row r="14" spans="1:78" ht="18.75" x14ac:dyDescent="0.25">
      <c r="A14" s="60" t="s">
        <v>9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</row>
    <row r="15" spans="1:78" ht="18.75" customHeight="1" x14ac:dyDescent="0.25">
      <c r="A15" s="61" t="s">
        <v>10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</row>
    <row r="16" spans="1:78" ht="18.75" x14ac:dyDescent="0.3">
      <c r="A16" s="71" t="s">
        <v>221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BZ16" s="11"/>
    </row>
    <row r="17" spans="1:79" ht="18.75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9" ht="18.75" hidden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</row>
    <row r="19" spans="1:79" ht="18.75" hidden="1" x14ac:dyDescent="0.3">
      <c r="A19" s="69" t="s">
        <v>142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</row>
    <row r="20" spans="1:79" hidden="1" x14ac:dyDescent="0.25">
      <c r="A20" s="71" t="s">
        <v>128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9" ht="35.25" hidden="1" customHeight="1" x14ac:dyDescent="0.25">
      <c r="L21" s="17"/>
      <c r="Q21" s="17"/>
      <c r="R21" s="19"/>
      <c r="S21" s="19"/>
      <c r="T21" s="19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8"/>
      <c r="AL21" s="18"/>
      <c r="BU21" s="83"/>
      <c r="BV21" s="83"/>
      <c r="BW21" s="83"/>
      <c r="BX21" s="83"/>
      <c r="BY21" s="83"/>
      <c r="BZ21" s="83"/>
    </row>
    <row r="22" spans="1:79" ht="160.5" customHeight="1" x14ac:dyDescent="0.25">
      <c r="A22" s="62" t="s">
        <v>11</v>
      </c>
      <c r="B22" s="62" t="s">
        <v>12</v>
      </c>
      <c r="C22" s="62" t="s">
        <v>133</v>
      </c>
      <c r="D22" s="62" t="s">
        <v>13</v>
      </c>
      <c r="E22" s="62" t="s">
        <v>14</v>
      </c>
      <c r="F22" s="62" t="s">
        <v>129</v>
      </c>
      <c r="G22" s="62"/>
      <c r="H22" s="62" t="s">
        <v>15</v>
      </c>
      <c r="I22" s="62"/>
      <c r="J22" s="62"/>
      <c r="K22" s="66" t="s">
        <v>16</v>
      </c>
      <c r="L22" s="66" t="s">
        <v>227</v>
      </c>
      <c r="M22" s="62" t="s">
        <v>17</v>
      </c>
      <c r="N22" s="62"/>
      <c r="O22" s="62" t="s">
        <v>18</v>
      </c>
      <c r="P22" s="73" t="s">
        <v>127</v>
      </c>
      <c r="Q22" s="74"/>
      <c r="R22" s="74"/>
      <c r="S22" s="74"/>
      <c r="T22" s="74"/>
      <c r="U22" s="74"/>
      <c r="V22" s="75"/>
      <c r="W22" s="72" t="s">
        <v>230</v>
      </c>
      <c r="X22" s="72"/>
      <c r="Y22" s="72"/>
      <c r="Z22" s="72"/>
      <c r="AA22" s="72"/>
      <c r="AB22" s="63" t="s">
        <v>229</v>
      </c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5"/>
      <c r="BZ22" s="66" t="s">
        <v>280</v>
      </c>
    </row>
    <row r="23" spans="1:79" ht="161.25" customHeight="1" x14ac:dyDescent="0.25">
      <c r="A23" s="62"/>
      <c r="B23" s="62"/>
      <c r="C23" s="62"/>
      <c r="D23" s="62"/>
      <c r="E23" s="62"/>
      <c r="F23" s="62"/>
      <c r="G23" s="62"/>
      <c r="H23" s="63" t="s">
        <v>19</v>
      </c>
      <c r="I23" s="64"/>
      <c r="J23" s="65"/>
      <c r="K23" s="67"/>
      <c r="L23" s="67"/>
      <c r="M23" s="62" t="s">
        <v>19</v>
      </c>
      <c r="N23" s="62"/>
      <c r="O23" s="62"/>
      <c r="P23" s="76"/>
      <c r="Q23" s="77"/>
      <c r="R23" s="77"/>
      <c r="S23" s="77"/>
      <c r="T23" s="77"/>
      <c r="U23" s="77"/>
      <c r="V23" s="78"/>
      <c r="W23" s="72" t="s">
        <v>279</v>
      </c>
      <c r="X23" s="72"/>
      <c r="Y23" s="72"/>
      <c r="Z23" s="72"/>
      <c r="AA23" s="72"/>
      <c r="AB23" s="79" t="s">
        <v>231</v>
      </c>
      <c r="AC23" s="80"/>
      <c r="AD23" s="80"/>
      <c r="AE23" s="80"/>
      <c r="AF23" s="81"/>
      <c r="AG23" s="62" t="s">
        <v>153</v>
      </c>
      <c r="AH23" s="62"/>
      <c r="AI23" s="62"/>
      <c r="AJ23" s="62"/>
      <c r="AK23" s="62"/>
      <c r="AL23" s="62" t="s">
        <v>20</v>
      </c>
      <c r="AM23" s="62"/>
      <c r="AN23" s="62"/>
      <c r="AO23" s="62"/>
      <c r="AP23" s="62"/>
      <c r="AQ23" s="63" t="s">
        <v>154</v>
      </c>
      <c r="AR23" s="64"/>
      <c r="AS23" s="64"/>
      <c r="AT23" s="64"/>
      <c r="AU23" s="65"/>
      <c r="AV23" s="63" t="s">
        <v>155</v>
      </c>
      <c r="AW23" s="64"/>
      <c r="AX23" s="64"/>
      <c r="AY23" s="64"/>
      <c r="AZ23" s="65"/>
      <c r="BA23" s="63" t="s">
        <v>156</v>
      </c>
      <c r="BB23" s="64"/>
      <c r="BC23" s="64"/>
      <c r="BD23" s="64"/>
      <c r="BE23" s="65"/>
      <c r="BF23" s="63" t="s">
        <v>157</v>
      </c>
      <c r="BG23" s="64"/>
      <c r="BH23" s="64"/>
      <c r="BI23" s="64"/>
      <c r="BJ23" s="65"/>
      <c r="BK23" s="63" t="s">
        <v>21</v>
      </c>
      <c r="BL23" s="64"/>
      <c r="BM23" s="64"/>
      <c r="BN23" s="64"/>
      <c r="BO23" s="65"/>
      <c r="BP23" s="63" t="s">
        <v>22</v>
      </c>
      <c r="BQ23" s="64"/>
      <c r="BR23" s="64"/>
      <c r="BS23" s="64"/>
      <c r="BT23" s="64"/>
      <c r="BU23" s="82" t="s">
        <v>23</v>
      </c>
      <c r="BV23" s="64"/>
      <c r="BW23" s="64"/>
      <c r="BX23" s="64"/>
      <c r="BY23" s="65"/>
      <c r="BZ23" s="67"/>
    </row>
    <row r="24" spans="1:79" ht="110.25" customHeight="1" x14ac:dyDescent="0.25">
      <c r="A24" s="62"/>
      <c r="B24" s="62"/>
      <c r="C24" s="62"/>
      <c r="D24" s="62"/>
      <c r="E24" s="62"/>
      <c r="F24" s="49" t="s">
        <v>24</v>
      </c>
      <c r="G24" s="49" t="s">
        <v>20</v>
      </c>
      <c r="H24" s="44" t="s">
        <v>25</v>
      </c>
      <c r="I24" s="44" t="s">
        <v>26</v>
      </c>
      <c r="J24" s="44" t="s">
        <v>27</v>
      </c>
      <c r="K24" s="68"/>
      <c r="L24" s="68"/>
      <c r="M24" s="54" t="s">
        <v>28</v>
      </c>
      <c r="N24" s="54" t="s">
        <v>29</v>
      </c>
      <c r="O24" s="50" t="s">
        <v>19</v>
      </c>
      <c r="P24" s="50" t="s">
        <v>228</v>
      </c>
      <c r="Q24" s="44" t="s">
        <v>145</v>
      </c>
      <c r="R24" s="44" t="s">
        <v>148</v>
      </c>
      <c r="S24" s="44" t="s">
        <v>149</v>
      </c>
      <c r="T24" s="44" t="s">
        <v>150</v>
      </c>
      <c r="U24" s="44" t="s">
        <v>151</v>
      </c>
      <c r="V24" s="44" t="s">
        <v>152</v>
      </c>
      <c r="W24" s="40" t="s">
        <v>30</v>
      </c>
      <c r="X24" s="40" t="s">
        <v>31</v>
      </c>
      <c r="Y24" s="40" t="s">
        <v>32</v>
      </c>
      <c r="Z24" s="41" t="s">
        <v>33</v>
      </c>
      <c r="AA24" s="41" t="s">
        <v>34</v>
      </c>
      <c r="AB24" s="44" t="s">
        <v>30</v>
      </c>
      <c r="AC24" s="44" t="s">
        <v>31</v>
      </c>
      <c r="AD24" s="44" t="s">
        <v>32</v>
      </c>
      <c r="AE24" s="48" t="s">
        <v>33</v>
      </c>
      <c r="AF24" s="48" t="s">
        <v>34</v>
      </c>
      <c r="AG24" s="44" t="s">
        <v>30</v>
      </c>
      <c r="AH24" s="44" t="s">
        <v>31</v>
      </c>
      <c r="AI24" s="44" t="s">
        <v>32</v>
      </c>
      <c r="AJ24" s="48" t="s">
        <v>33</v>
      </c>
      <c r="AK24" s="48" t="s">
        <v>34</v>
      </c>
      <c r="AL24" s="44" t="s">
        <v>30</v>
      </c>
      <c r="AM24" s="44" t="s">
        <v>31</v>
      </c>
      <c r="AN24" s="44" t="s">
        <v>32</v>
      </c>
      <c r="AO24" s="48" t="s">
        <v>33</v>
      </c>
      <c r="AP24" s="48" t="s">
        <v>34</v>
      </c>
      <c r="AQ24" s="44" t="s">
        <v>30</v>
      </c>
      <c r="AR24" s="44" t="s">
        <v>31</v>
      </c>
      <c r="AS24" s="44" t="s">
        <v>32</v>
      </c>
      <c r="AT24" s="48" t="s">
        <v>33</v>
      </c>
      <c r="AU24" s="48" t="s">
        <v>34</v>
      </c>
      <c r="AV24" s="44" t="s">
        <v>30</v>
      </c>
      <c r="AW24" s="44" t="s">
        <v>31</v>
      </c>
      <c r="AX24" s="44" t="s">
        <v>32</v>
      </c>
      <c r="AY24" s="48" t="s">
        <v>33</v>
      </c>
      <c r="AZ24" s="48" t="s">
        <v>34</v>
      </c>
      <c r="BA24" s="44" t="s">
        <v>30</v>
      </c>
      <c r="BB24" s="44" t="s">
        <v>31</v>
      </c>
      <c r="BC24" s="44" t="s">
        <v>32</v>
      </c>
      <c r="BD24" s="48" t="s">
        <v>33</v>
      </c>
      <c r="BE24" s="48" t="s">
        <v>34</v>
      </c>
      <c r="BF24" s="44" t="s">
        <v>30</v>
      </c>
      <c r="BG24" s="44" t="s">
        <v>31</v>
      </c>
      <c r="BH24" s="44" t="s">
        <v>32</v>
      </c>
      <c r="BI24" s="48" t="s">
        <v>33</v>
      </c>
      <c r="BJ24" s="48" t="s">
        <v>34</v>
      </c>
      <c r="BK24" s="6" t="s">
        <v>30</v>
      </c>
      <c r="BL24" s="6" t="s">
        <v>31</v>
      </c>
      <c r="BM24" s="6" t="s">
        <v>32</v>
      </c>
      <c r="BN24" s="7" t="s">
        <v>33</v>
      </c>
      <c r="BO24" s="7" t="s">
        <v>34</v>
      </c>
      <c r="BP24" s="6" t="s">
        <v>30</v>
      </c>
      <c r="BQ24" s="6" t="s">
        <v>31</v>
      </c>
      <c r="BR24" s="6" t="s">
        <v>32</v>
      </c>
      <c r="BS24" s="7" t="s">
        <v>33</v>
      </c>
      <c r="BT24" s="8" t="s">
        <v>34</v>
      </c>
      <c r="BU24" s="9" t="s">
        <v>30</v>
      </c>
      <c r="BV24" s="6" t="s">
        <v>31</v>
      </c>
      <c r="BW24" s="6" t="s">
        <v>32</v>
      </c>
      <c r="BX24" s="7" t="s">
        <v>33</v>
      </c>
      <c r="BY24" s="7" t="s">
        <v>34</v>
      </c>
      <c r="BZ24" s="68"/>
    </row>
    <row r="25" spans="1:79" ht="19.5" customHeight="1" x14ac:dyDescent="0.25">
      <c r="A25" s="44">
        <v>1</v>
      </c>
      <c r="B25" s="44">
        <v>2</v>
      </c>
      <c r="C25" s="44">
        <v>3</v>
      </c>
      <c r="D25" s="44">
        <v>4</v>
      </c>
      <c r="E25" s="44">
        <v>5</v>
      </c>
      <c r="F25" s="44">
        <v>6</v>
      </c>
      <c r="G25" s="44">
        <v>7</v>
      </c>
      <c r="H25" s="44">
        <v>8</v>
      </c>
      <c r="I25" s="44">
        <v>9</v>
      </c>
      <c r="J25" s="44">
        <v>10</v>
      </c>
      <c r="K25" s="44">
        <f>J25+1</f>
        <v>11</v>
      </c>
      <c r="L25" s="44">
        <v>12</v>
      </c>
      <c r="M25" s="54">
        <v>13</v>
      </c>
      <c r="N25" s="54">
        <v>14</v>
      </c>
      <c r="O25" s="51">
        <v>15</v>
      </c>
      <c r="P25" s="51">
        <f>O25+1</f>
        <v>16</v>
      </c>
      <c r="Q25" s="44">
        <f t="shared" ref="Q25:BZ25" si="0">P25+1</f>
        <v>17</v>
      </c>
      <c r="R25" s="44">
        <f t="shared" si="0"/>
        <v>18</v>
      </c>
      <c r="S25" s="44">
        <f t="shared" si="0"/>
        <v>19</v>
      </c>
      <c r="T25" s="44">
        <f t="shared" si="0"/>
        <v>20</v>
      </c>
      <c r="U25" s="44">
        <f t="shared" si="0"/>
        <v>21</v>
      </c>
      <c r="V25" s="44">
        <f t="shared" si="0"/>
        <v>22</v>
      </c>
      <c r="W25" s="44">
        <f t="shared" si="0"/>
        <v>23</v>
      </c>
      <c r="X25" s="44">
        <f t="shared" si="0"/>
        <v>24</v>
      </c>
      <c r="Y25" s="44">
        <f t="shared" si="0"/>
        <v>25</v>
      </c>
      <c r="Z25" s="44">
        <f t="shared" si="0"/>
        <v>26</v>
      </c>
      <c r="AA25" s="44">
        <f t="shared" si="0"/>
        <v>27</v>
      </c>
      <c r="AB25" s="44">
        <f t="shared" si="0"/>
        <v>28</v>
      </c>
      <c r="AC25" s="44">
        <f t="shared" si="0"/>
        <v>29</v>
      </c>
      <c r="AD25" s="44">
        <f t="shared" si="0"/>
        <v>30</v>
      </c>
      <c r="AE25" s="44">
        <f t="shared" si="0"/>
        <v>31</v>
      </c>
      <c r="AF25" s="44">
        <f t="shared" si="0"/>
        <v>32</v>
      </c>
      <c r="AG25" s="44">
        <f t="shared" si="0"/>
        <v>33</v>
      </c>
      <c r="AH25" s="44">
        <f t="shared" si="0"/>
        <v>34</v>
      </c>
      <c r="AI25" s="44">
        <f t="shared" si="0"/>
        <v>35</v>
      </c>
      <c r="AJ25" s="44">
        <f t="shared" si="0"/>
        <v>36</v>
      </c>
      <c r="AK25" s="44">
        <f t="shared" si="0"/>
        <v>37</v>
      </c>
      <c r="AL25" s="44">
        <f t="shared" si="0"/>
        <v>38</v>
      </c>
      <c r="AM25" s="44">
        <f t="shared" si="0"/>
        <v>39</v>
      </c>
      <c r="AN25" s="44">
        <f t="shared" si="0"/>
        <v>40</v>
      </c>
      <c r="AO25" s="44">
        <f t="shared" si="0"/>
        <v>41</v>
      </c>
      <c r="AP25" s="44">
        <f t="shared" si="0"/>
        <v>42</v>
      </c>
      <c r="AQ25" s="44">
        <f t="shared" si="0"/>
        <v>43</v>
      </c>
      <c r="AR25" s="44">
        <f t="shared" si="0"/>
        <v>44</v>
      </c>
      <c r="AS25" s="44">
        <f t="shared" si="0"/>
        <v>45</v>
      </c>
      <c r="AT25" s="44">
        <f t="shared" si="0"/>
        <v>46</v>
      </c>
      <c r="AU25" s="44">
        <f t="shared" si="0"/>
        <v>47</v>
      </c>
      <c r="AV25" s="44">
        <f t="shared" si="0"/>
        <v>48</v>
      </c>
      <c r="AW25" s="44">
        <f t="shared" si="0"/>
        <v>49</v>
      </c>
      <c r="AX25" s="44">
        <f t="shared" si="0"/>
        <v>50</v>
      </c>
      <c r="AY25" s="44">
        <f t="shared" si="0"/>
        <v>51</v>
      </c>
      <c r="AZ25" s="44">
        <f t="shared" si="0"/>
        <v>52</v>
      </c>
      <c r="BA25" s="44">
        <f t="shared" si="0"/>
        <v>53</v>
      </c>
      <c r="BB25" s="44">
        <f t="shared" si="0"/>
        <v>54</v>
      </c>
      <c r="BC25" s="44">
        <f t="shared" si="0"/>
        <v>55</v>
      </c>
      <c r="BD25" s="44">
        <f t="shared" si="0"/>
        <v>56</v>
      </c>
      <c r="BE25" s="44">
        <f t="shared" si="0"/>
        <v>57</v>
      </c>
      <c r="BF25" s="44">
        <f t="shared" si="0"/>
        <v>58</v>
      </c>
      <c r="BG25" s="44">
        <f t="shared" si="0"/>
        <v>59</v>
      </c>
      <c r="BH25" s="44">
        <f t="shared" si="0"/>
        <v>60</v>
      </c>
      <c r="BI25" s="44">
        <f t="shared" si="0"/>
        <v>61</v>
      </c>
      <c r="BJ25" s="44">
        <f t="shared" si="0"/>
        <v>62</v>
      </c>
      <c r="BK25" s="44">
        <f t="shared" si="0"/>
        <v>63</v>
      </c>
      <c r="BL25" s="44">
        <f t="shared" si="0"/>
        <v>64</v>
      </c>
      <c r="BM25" s="44">
        <f t="shared" si="0"/>
        <v>65</v>
      </c>
      <c r="BN25" s="44">
        <f t="shared" si="0"/>
        <v>66</v>
      </c>
      <c r="BO25" s="44">
        <f t="shared" si="0"/>
        <v>67</v>
      </c>
      <c r="BP25" s="44">
        <f t="shared" si="0"/>
        <v>68</v>
      </c>
      <c r="BQ25" s="44">
        <f t="shared" si="0"/>
        <v>69</v>
      </c>
      <c r="BR25" s="44">
        <f t="shared" si="0"/>
        <v>70</v>
      </c>
      <c r="BS25" s="44">
        <f t="shared" si="0"/>
        <v>71</v>
      </c>
      <c r="BT25" s="44">
        <f t="shared" si="0"/>
        <v>72</v>
      </c>
      <c r="BU25" s="44">
        <f t="shared" si="0"/>
        <v>73</v>
      </c>
      <c r="BV25" s="44">
        <f t="shared" si="0"/>
        <v>74</v>
      </c>
      <c r="BW25" s="44">
        <f t="shared" si="0"/>
        <v>75</v>
      </c>
      <c r="BX25" s="44">
        <f t="shared" si="0"/>
        <v>76</v>
      </c>
      <c r="BY25" s="44">
        <f t="shared" si="0"/>
        <v>77</v>
      </c>
      <c r="BZ25" s="44">
        <f t="shared" si="0"/>
        <v>78</v>
      </c>
    </row>
    <row r="26" spans="1:79" ht="31.5" x14ac:dyDescent="0.25">
      <c r="A26" s="35">
        <v>0</v>
      </c>
      <c r="B26" s="35" t="s">
        <v>182</v>
      </c>
      <c r="C26" s="35" t="s">
        <v>117</v>
      </c>
      <c r="D26" s="36">
        <f>SUM(D27:D32)</f>
        <v>0</v>
      </c>
      <c r="E26" s="36">
        <v>0</v>
      </c>
      <c r="F26" s="36">
        <v>0</v>
      </c>
      <c r="G26" s="36">
        <f t="shared" ref="G26:BS26" si="1">SUM(G27:G32)</f>
        <v>0</v>
      </c>
      <c r="H26" s="36">
        <f t="shared" si="1"/>
        <v>98.52103726033998</v>
      </c>
      <c r="I26" s="36">
        <f t="shared" si="1"/>
        <v>773.05928516371989</v>
      </c>
      <c r="J26" s="36">
        <f t="shared" si="1"/>
        <v>0</v>
      </c>
      <c r="K26" s="36">
        <f t="shared" si="1"/>
        <v>25.37238</v>
      </c>
      <c r="L26" s="36">
        <f t="shared" si="1"/>
        <v>2.0511050879999999</v>
      </c>
      <c r="M26" s="36">
        <f t="shared" si="1"/>
        <v>2735.1711709545598</v>
      </c>
      <c r="N26" s="36">
        <f t="shared" si="1"/>
        <v>3006.3013263672124</v>
      </c>
      <c r="O26" s="36">
        <f>SUM(O27:O32)</f>
        <v>912.55288227901212</v>
      </c>
      <c r="P26" s="36">
        <f t="shared" ref="P26:AA26" si="2">SUM(P27:P32)</f>
        <v>910.50177719101225</v>
      </c>
      <c r="Q26" s="36">
        <f t="shared" si="2"/>
        <v>907.03123799101218</v>
      </c>
      <c r="R26" s="36">
        <f t="shared" si="2"/>
        <v>755.32453402895987</v>
      </c>
      <c r="S26" s="36">
        <f t="shared" si="2"/>
        <v>611.28950915286009</v>
      </c>
      <c r="T26" s="36">
        <f t="shared" si="2"/>
        <v>460.10926272749998</v>
      </c>
      <c r="U26" s="36">
        <f t="shared" si="2"/>
        <v>327.95928181499994</v>
      </c>
      <c r="V26" s="36">
        <f t="shared" si="2"/>
        <v>178.20330902531998</v>
      </c>
      <c r="W26" s="36">
        <f t="shared" si="2"/>
        <v>3.4705392000000002</v>
      </c>
      <c r="X26" s="36">
        <f t="shared" si="2"/>
        <v>0</v>
      </c>
      <c r="Y26" s="36">
        <f t="shared" si="2"/>
        <v>0</v>
      </c>
      <c r="Z26" s="36">
        <f t="shared" si="2"/>
        <v>3.4705392000000002</v>
      </c>
      <c r="AA26" s="36">
        <f t="shared" si="2"/>
        <v>0</v>
      </c>
      <c r="AB26" s="36">
        <f>SUM(AB27:AB32)</f>
        <v>151.70670396205199</v>
      </c>
      <c r="AC26" s="36">
        <f t="shared" ref="AC26:AF26" si="3">SUM(AC27:AC32)</f>
        <v>0</v>
      </c>
      <c r="AD26" s="36">
        <f t="shared" si="3"/>
        <v>0</v>
      </c>
      <c r="AE26" s="36">
        <f t="shared" si="3"/>
        <v>126.33432396205198</v>
      </c>
      <c r="AF26" s="36">
        <f t="shared" si="3"/>
        <v>25.37238</v>
      </c>
      <c r="AG26" s="36">
        <f>SUM(AG27:AG32)</f>
        <v>144.03502487610001</v>
      </c>
      <c r="AH26" s="36">
        <f t="shared" si="1"/>
        <v>0</v>
      </c>
      <c r="AI26" s="36">
        <f t="shared" si="1"/>
        <v>0</v>
      </c>
      <c r="AJ26" s="36">
        <f t="shared" si="1"/>
        <v>144.03502487610001</v>
      </c>
      <c r="AK26" s="36">
        <f t="shared" si="1"/>
        <v>0</v>
      </c>
      <c r="AL26" s="36" t="e">
        <f t="shared" si="1"/>
        <v>#REF!</v>
      </c>
      <c r="AM26" s="36" t="e">
        <f t="shared" si="1"/>
        <v>#REF!</v>
      </c>
      <c r="AN26" s="36" t="e">
        <f t="shared" si="1"/>
        <v>#REF!</v>
      </c>
      <c r="AO26" s="36" t="e">
        <f t="shared" si="1"/>
        <v>#REF!</v>
      </c>
      <c r="AP26" s="36" t="e">
        <f t="shared" si="1"/>
        <v>#REF!</v>
      </c>
      <c r="AQ26" s="36">
        <f t="shared" si="1"/>
        <v>151.18024642536002</v>
      </c>
      <c r="AR26" s="36">
        <f t="shared" si="1"/>
        <v>0</v>
      </c>
      <c r="AS26" s="36">
        <f t="shared" si="1"/>
        <v>0</v>
      </c>
      <c r="AT26" s="36">
        <f t="shared" si="1"/>
        <v>151.18024642536002</v>
      </c>
      <c r="AU26" s="36">
        <f t="shared" si="1"/>
        <v>0</v>
      </c>
      <c r="AV26" s="36">
        <f>SUM(AV27:AV32)</f>
        <v>132.14998091250001</v>
      </c>
      <c r="AW26" s="36">
        <f t="shared" ref="AW26:BJ26" si="4">SUM(AW27:AW32)</f>
        <v>0</v>
      </c>
      <c r="AX26" s="36">
        <f t="shared" si="4"/>
        <v>0</v>
      </c>
      <c r="AY26" s="36">
        <f t="shared" si="4"/>
        <v>132.14998091250001</v>
      </c>
      <c r="AZ26" s="36">
        <f t="shared" si="4"/>
        <v>0</v>
      </c>
      <c r="BA26" s="36">
        <f t="shared" si="4"/>
        <v>149.75597278967999</v>
      </c>
      <c r="BB26" s="36">
        <f t="shared" si="4"/>
        <v>0</v>
      </c>
      <c r="BC26" s="36">
        <f t="shared" si="4"/>
        <v>0</v>
      </c>
      <c r="BD26" s="36">
        <f t="shared" si="4"/>
        <v>149.75597278967999</v>
      </c>
      <c r="BE26" s="36">
        <f t="shared" si="4"/>
        <v>0</v>
      </c>
      <c r="BF26" s="36">
        <f t="shared" si="4"/>
        <v>178.20330902531998</v>
      </c>
      <c r="BG26" s="36">
        <f t="shared" si="4"/>
        <v>0</v>
      </c>
      <c r="BH26" s="36">
        <f t="shared" si="4"/>
        <v>0</v>
      </c>
      <c r="BI26" s="36">
        <f t="shared" si="4"/>
        <v>178.20330902531998</v>
      </c>
      <c r="BJ26" s="36">
        <f t="shared" si="4"/>
        <v>0</v>
      </c>
      <c r="BK26" s="36" t="e">
        <f t="shared" si="1"/>
        <v>#VALUE!</v>
      </c>
      <c r="BL26" s="36" t="e">
        <f t="shared" si="1"/>
        <v>#VALUE!</v>
      </c>
      <c r="BM26" s="36" t="e">
        <f>SUM(BM27:BM32)</f>
        <v>#VALUE!</v>
      </c>
      <c r="BN26" s="36" t="e">
        <f t="shared" si="1"/>
        <v>#VALUE!</v>
      </c>
      <c r="BO26" s="36" t="e">
        <f t="shared" si="1"/>
        <v>#VALUE!</v>
      </c>
      <c r="BP26" s="36" t="e">
        <f t="shared" si="1"/>
        <v>#VALUE!</v>
      </c>
      <c r="BQ26" s="36" t="e">
        <f t="shared" si="1"/>
        <v>#VALUE!</v>
      </c>
      <c r="BR26" s="36" t="e">
        <f t="shared" si="1"/>
        <v>#VALUE!</v>
      </c>
      <c r="BS26" s="36" t="e">
        <f t="shared" si="1"/>
        <v>#VALUE!</v>
      </c>
      <c r="BT26" s="36" t="e">
        <f t="shared" ref="BT26:BY26" si="5">SUM(BT27:BT32)</f>
        <v>#VALUE!</v>
      </c>
      <c r="BU26" s="36">
        <f t="shared" si="5"/>
        <v>907.03123799101218</v>
      </c>
      <c r="BV26" s="36">
        <f t="shared" si="5"/>
        <v>0</v>
      </c>
      <c r="BW26" s="36">
        <f t="shared" si="5"/>
        <v>0</v>
      </c>
      <c r="BX26" s="36">
        <f t="shared" si="5"/>
        <v>881.65885799101216</v>
      </c>
      <c r="BY26" s="36">
        <f t="shared" si="5"/>
        <v>25.37238</v>
      </c>
      <c r="BZ26" s="26" t="s">
        <v>117</v>
      </c>
      <c r="CA26" s="37"/>
    </row>
    <row r="27" spans="1:79" x14ac:dyDescent="0.25">
      <c r="A27" s="35" t="s">
        <v>183</v>
      </c>
      <c r="B27" s="35" t="s">
        <v>184</v>
      </c>
      <c r="C27" s="35" t="s">
        <v>126</v>
      </c>
      <c r="D27" s="36">
        <f>SUM(D35)</f>
        <v>0</v>
      </c>
      <c r="E27" s="36">
        <f t="shared" ref="E27:BU27" si="6">SUM(E35)</f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  <c r="I27" s="36">
        <f t="shared" si="6"/>
        <v>25.37238</v>
      </c>
      <c r="J27" s="36">
        <f t="shared" si="6"/>
        <v>0</v>
      </c>
      <c r="K27" s="36">
        <f t="shared" si="6"/>
        <v>25.37238</v>
      </c>
      <c r="L27" s="36">
        <f t="shared" si="6"/>
        <v>0</v>
      </c>
      <c r="M27" s="36">
        <f t="shared" si="6"/>
        <v>0</v>
      </c>
      <c r="N27" s="36">
        <f t="shared" si="6"/>
        <v>0</v>
      </c>
      <c r="O27" s="36">
        <f>SUM(O35)</f>
        <v>25.37238</v>
      </c>
      <c r="P27" s="36">
        <f>SUM(P35)</f>
        <v>25.37238</v>
      </c>
      <c r="Q27" s="36">
        <f>SUM(Q35)</f>
        <v>25.37238</v>
      </c>
      <c r="R27" s="36">
        <v>0</v>
      </c>
      <c r="S27" s="36">
        <v>0</v>
      </c>
      <c r="T27" s="36">
        <f t="shared" si="6"/>
        <v>0</v>
      </c>
      <c r="U27" s="36">
        <f t="shared" si="6"/>
        <v>0</v>
      </c>
      <c r="V27" s="36">
        <f t="shared" si="6"/>
        <v>0</v>
      </c>
      <c r="W27" s="36">
        <f t="shared" si="6"/>
        <v>0</v>
      </c>
      <c r="X27" s="36">
        <f t="shared" si="6"/>
        <v>0</v>
      </c>
      <c r="Y27" s="36">
        <f t="shared" si="6"/>
        <v>0</v>
      </c>
      <c r="Z27" s="36">
        <f t="shared" si="6"/>
        <v>0</v>
      </c>
      <c r="AA27" s="36">
        <f t="shared" si="6"/>
        <v>0</v>
      </c>
      <c r="AB27" s="36">
        <f t="shared" ref="AB27:AF27" si="7">SUM(AB35)</f>
        <v>25.37238</v>
      </c>
      <c r="AC27" s="36">
        <f t="shared" si="7"/>
        <v>0</v>
      </c>
      <c r="AD27" s="36">
        <f t="shared" si="7"/>
        <v>0</v>
      </c>
      <c r="AE27" s="36">
        <f t="shared" si="7"/>
        <v>0</v>
      </c>
      <c r="AF27" s="36">
        <f t="shared" si="7"/>
        <v>25.37238</v>
      </c>
      <c r="AG27" s="36">
        <f t="shared" si="6"/>
        <v>0</v>
      </c>
      <c r="AH27" s="36">
        <f t="shared" si="6"/>
        <v>0</v>
      </c>
      <c r="AI27" s="36">
        <f t="shared" si="6"/>
        <v>0</v>
      </c>
      <c r="AJ27" s="36">
        <f t="shared" si="6"/>
        <v>0</v>
      </c>
      <c r="AK27" s="36">
        <f t="shared" si="6"/>
        <v>0</v>
      </c>
      <c r="AL27" s="36">
        <f t="shared" si="6"/>
        <v>0</v>
      </c>
      <c r="AM27" s="36">
        <f t="shared" si="6"/>
        <v>0</v>
      </c>
      <c r="AN27" s="36">
        <f t="shared" si="6"/>
        <v>0</v>
      </c>
      <c r="AO27" s="36">
        <f t="shared" si="6"/>
        <v>0</v>
      </c>
      <c r="AP27" s="36">
        <f t="shared" si="6"/>
        <v>0</v>
      </c>
      <c r="AQ27" s="36">
        <f t="shared" si="6"/>
        <v>0</v>
      </c>
      <c r="AR27" s="36">
        <f t="shared" si="6"/>
        <v>0</v>
      </c>
      <c r="AS27" s="36">
        <f t="shared" si="6"/>
        <v>0</v>
      </c>
      <c r="AT27" s="36">
        <f t="shared" si="6"/>
        <v>0</v>
      </c>
      <c r="AU27" s="36">
        <f t="shared" si="6"/>
        <v>0</v>
      </c>
      <c r="AV27" s="36">
        <f t="shared" si="6"/>
        <v>0</v>
      </c>
      <c r="AW27" s="36">
        <f t="shared" si="6"/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f t="shared" si="6"/>
        <v>0</v>
      </c>
      <c r="BD27" s="36">
        <f t="shared" si="6"/>
        <v>0</v>
      </c>
      <c r="BE27" s="36">
        <f t="shared" si="6"/>
        <v>0</v>
      </c>
      <c r="BF27" s="36">
        <f t="shared" si="6"/>
        <v>0</v>
      </c>
      <c r="BG27" s="36">
        <f t="shared" si="6"/>
        <v>0</v>
      </c>
      <c r="BH27" s="36">
        <f t="shared" si="6"/>
        <v>0</v>
      </c>
      <c r="BI27" s="36">
        <f t="shared" si="6"/>
        <v>0</v>
      </c>
      <c r="BJ27" s="36">
        <f t="shared" si="6"/>
        <v>0</v>
      </c>
      <c r="BK27" s="36">
        <f t="shared" si="6"/>
        <v>0</v>
      </c>
      <c r="BL27" s="36">
        <f t="shared" si="6"/>
        <v>0</v>
      </c>
      <c r="BM27" s="36">
        <f t="shared" si="6"/>
        <v>0</v>
      </c>
      <c r="BN27" s="36">
        <f t="shared" si="6"/>
        <v>0</v>
      </c>
      <c r="BO27" s="36">
        <f t="shared" si="6"/>
        <v>0</v>
      </c>
      <c r="BP27" s="36">
        <f t="shared" si="6"/>
        <v>0</v>
      </c>
      <c r="BQ27" s="36">
        <f>SUM(BQ35)</f>
        <v>0</v>
      </c>
      <c r="BR27" s="36">
        <f t="shared" si="6"/>
        <v>0</v>
      </c>
      <c r="BS27" s="36">
        <f t="shared" si="6"/>
        <v>0</v>
      </c>
      <c r="BT27" s="36">
        <f t="shared" si="6"/>
        <v>0</v>
      </c>
      <c r="BU27" s="36">
        <f t="shared" si="6"/>
        <v>25.37238</v>
      </c>
      <c r="BV27" s="36">
        <f t="shared" ref="BV27:BY27" si="8">SUM(BV35)</f>
        <v>0</v>
      </c>
      <c r="BW27" s="36">
        <f t="shared" si="8"/>
        <v>0</v>
      </c>
      <c r="BX27" s="36">
        <f t="shared" si="8"/>
        <v>0</v>
      </c>
      <c r="BY27" s="36">
        <f t="shared" si="8"/>
        <v>25.37238</v>
      </c>
      <c r="BZ27" s="26" t="s">
        <v>117</v>
      </c>
      <c r="CA27" s="37"/>
    </row>
    <row r="28" spans="1:79" ht="31.5" x14ac:dyDescent="0.25">
      <c r="A28" s="35" t="s">
        <v>185</v>
      </c>
      <c r="B28" s="35" t="s">
        <v>186</v>
      </c>
      <c r="C28" s="35" t="s">
        <v>126</v>
      </c>
      <c r="D28" s="36">
        <f>SUM(D66)</f>
        <v>0</v>
      </c>
      <c r="E28" s="36">
        <v>0</v>
      </c>
      <c r="F28" s="36">
        <v>0</v>
      </c>
      <c r="G28" s="36">
        <f>SUM(G66)</f>
        <v>0</v>
      </c>
      <c r="H28" s="36">
        <f t="shared" ref="H28:AM28" si="9">H56</f>
        <v>98.474925420339986</v>
      </c>
      <c r="I28" s="36">
        <f t="shared" si="9"/>
        <v>736.3311743337199</v>
      </c>
      <c r="J28" s="36" t="str">
        <f t="shared" si="9"/>
        <v>нд</v>
      </c>
      <c r="K28" s="36" t="str">
        <f t="shared" si="9"/>
        <v>нд</v>
      </c>
      <c r="L28" s="36">
        <f t="shared" si="9"/>
        <v>2.0511050879999999</v>
      </c>
      <c r="M28" s="36">
        <f t="shared" si="9"/>
        <v>2735.1711709545598</v>
      </c>
      <c r="N28" s="36">
        <f t="shared" si="9"/>
        <v>3006.3013263672124</v>
      </c>
      <c r="O28" s="36">
        <f>O56</f>
        <v>874.52020595688009</v>
      </c>
      <c r="P28" s="36">
        <f t="shared" si="9"/>
        <v>872.46910086888022</v>
      </c>
      <c r="Q28" s="36">
        <f t="shared" si="9"/>
        <v>868.99856166888014</v>
      </c>
      <c r="R28" s="36">
        <f t="shared" si="9"/>
        <v>748.93282843295992</v>
      </c>
      <c r="S28" s="36">
        <f t="shared" si="9"/>
        <v>605.13707395686004</v>
      </c>
      <c r="T28" s="36">
        <f t="shared" si="9"/>
        <v>454.67595156749996</v>
      </c>
      <c r="U28" s="36">
        <f t="shared" si="9"/>
        <v>327.95928181499994</v>
      </c>
      <c r="V28" s="36">
        <f t="shared" si="9"/>
        <v>178.20330902531998</v>
      </c>
      <c r="W28" s="36">
        <f t="shared" si="9"/>
        <v>3.4705392000000002</v>
      </c>
      <c r="X28" s="36">
        <f t="shared" si="9"/>
        <v>0</v>
      </c>
      <c r="Y28" s="36">
        <f t="shared" si="9"/>
        <v>0</v>
      </c>
      <c r="Z28" s="36">
        <f t="shared" si="9"/>
        <v>3.4705392000000002</v>
      </c>
      <c r="AA28" s="36">
        <f t="shared" si="9"/>
        <v>0</v>
      </c>
      <c r="AB28" s="36">
        <f t="shared" si="9"/>
        <v>120.06573323591998</v>
      </c>
      <c r="AC28" s="36">
        <f t="shared" si="9"/>
        <v>0</v>
      </c>
      <c r="AD28" s="36">
        <f t="shared" si="9"/>
        <v>0</v>
      </c>
      <c r="AE28" s="36">
        <f t="shared" si="9"/>
        <v>120.06573323591998</v>
      </c>
      <c r="AF28" s="36">
        <f t="shared" si="9"/>
        <v>0</v>
      </c>
      <c r="AG28" s="36">
        <f t="shared" si="9"/>
        <v>143.7957544761</v>
      </c>
      <c r="AH28" s="36">
        <f t="shared" si="9"/>
        <v>0</v>
      </c>
      <c r="AI28" s="36">
        <f t="shared" si="9"/>
        <v>0</v>
      </c>
      <c r="AJ28" s="36">
        <f t="shared" si="9"/>
        <v>143.7957544761</v>
      </c>
      <c r="AK28" s="36">
        <f t="shared" si="9"/>
        <v>0</v>
      </c>
      <c r="AL28" s="36" t="e">
        <f t="shared" si="9"/>
        <v>#REF!</v>
      </c>
      <c r="AM28" s="36" t="e">
        <f t="shared" si="9"/>
        <v>#REF!</v>
      </c>
      <c r="AN28" s="36" t="e">
        <f t="shared" ref="AN28:BS28" si="10">AN56</f>
        <v>#REF!</v>
      </c>
      <c r="AO28" s="36" t="e">
        <f t="shared" si="10"/>
        <v>#REF!</v>
      </c>
      <c r="AP28" s="36" t="e">
        <f t="shared" si="10"/>
        <v>#REF!</v>
      </c>
      <c r="AQ28" s="36">
        <f t="shared" si="10"/>
        <v>150.46112238936001</v>
      </c>
      <c r="AR28" s="36">
        <f t="shared" si="10"/>
        <v>0</v>
      </c>
      <c r="AS28" s="36">
        <f t="shared" si="10"/>
        <v>0</v>
      </c>
      <c r="AT28" s="36">
        <f t="shared" si="10"/>
        <v>150.46112238936001</v>
      </c>
      <c r="AU28" s="36">
        <f t="shared" si="10"/>
        <v>0</v>
      </c>
      <c r="AV28" s="36">
        <f t="shared" si="10"/>
        <v>126.71666975250001</v>
      </c>
      <c r="AW28" s="36">
        <f t="shared" si="10"/>
        <v>0</v>
      </c>
      <c r="AX28" s="36">
        <f t="shared" si="10"/>
        <v>0</v>
      </c>
      <c r="AY28" s="36">
        <f t="shared" si="10"/>
        <v>126.71666975250001</v>
      </c>
      <c r="AZ28" s="36">
        <f t="shared" si="10"/>
        <v>0</v>
      </c>
      <c r="BA28" s="36">
        <f t="shared" si="10"/>
        <v>149.75597278967999</v>
      </c>
      <c r="BB28" s="36">
        <f t="shared" si="10"/>
        <v>0</v>
      </c>
      <c r="BC28" s="36">
        <f t="shared" si="10"/>
        <v>0</v>
      </c>
      <c r="BD28" s="36">
        <f t="shared" si="10"/>
        <v>149.75597278967999</v>
      </c>
      <c r="BE28" s="36">
        <f t="shared" si="10"/>
        <v>0</v>
      </c>
      <c r="BF28" s="36">
        <f t="shared" si="10"/>
        <v>178.20330902531998</v>
      </c>
      <c r="BG28" s="36">
        <f t="shared" si="10"/>
        <v>0</v>
      </c>
      <c r="BH28" s="36">
        <f t="shared" si="10"/>
        <v>0</v>
      </c>
      <c r="BI28" s="36">
        <f t="shared" si="10"/>
        <v>178.20330902531998</v>
      </c>
      <c r="BJ28" s="36">
        <f t="shared" si="10"/>
        <v>0</v>
      </c>
      <c r="BK28" s="36" t="e">
        <f t="shared" si="10"/>
        <v>#VALUE!</v>
      </c>
      <c r="BL28" s="36" t="e">
        <f t="shared" si="10"/>
        <v>#VALUE!</v>
      </c>
      <c r="BM28" s="36" t="e">
        <f t="shared" si="10"/>
        <v>#VALUE!</v>
      </c>
      <c r="BN28" s="36" t="e">
        <f t="shared" si="10"/>
        <v>#VALUE!</v>
      </c>
      <c r="BO28" s="36" t="e">
        <f t="shared" si="10"/>
        <v>#VALUE!</v>
      </c>
      <c r="BP28" s="36" t="e">
        <f t="shared" si="10"/>
        <v>#VALUE!</v>
      </c>
      <c r="BQ28" s="36" t="e">
        <f t="shared" si="10"/>
        <v>#VALUE!</v>
      </c>
      <c r="BR28" s="36" t="e">
        <f t="shared" si="10"/>
        <v>#VALUE!</v>
      </c>
      <c r="BS28" s="36" t="e">
        <f t="shared" si="10"/>
        <v>#VALUE!</v>
      </c>
      <c r="BT28" s="36" t="e">
        <f t="shared" ref="BT28:BY28" si="11">BT56</f>
        <v>#VALUE!</v>
      </c>
      <c r="BU28" s="36">
        <f t="shared" si="11"/>
        <v>868.99856166888014</v>
      </c>
      <c r="BV28" s="36">
        <f t="shared" si="11"/>
        <v>0</v>
      </c>
      <c r="BW28" s="36">
        <f t="shared" si="11"/>
        <v>0</v>
      </c>
      <c r="BX28" s="36">
        <f t="shared" si="11"/>
        <v>868.99856166888014</v>
      </c>
      <c r="BY28" s="36">
        <f t="shared" si="11"/>
        <v>0</v>
      </c>
      <c r="BZ28" s="26" t="s">
        <v>117</v>
      </c>
      <c r="CA28" s="37"/>
    </row>
    <row r="29" spans="1:79" ht="63" x14ac:dyDescent="0.25">
      <c r="A29" s="35" t="s">
        <v>187</v>
      </c>
      <c r="B29" s="35" t="s">
        <v>188</v>
      </c>
      <c r="C29" s="35" t="s">
        <v>126</v>
      </c>
      <c r="D29" s="36">
        <f t="shared" ref="D29:N29" si="12">SUM(D137)</f>
        <v>0</v>
      </c>
      <c r="E29" s="36">
        <f t="shared" si="12"/>
        <v>0</v>
      </c>
      <c r="F29" s="36">
        <f t="shared" si="12"/>
        <v>0</v>
      </c>
      <c r="G29" s="36">
        <f t="shared" si="12"/>
        <v>0</v>
      </c>
      <c r="H29" s="36">
        <f t="shared" si="12"/>
        <v>0</v>
      </c>
      <c r="I29" s="36">
        <f t="shared" si="12"/>
        <v>0</v>
      </c>
      <c r="J29" s="36">
        <f t="shared" si="12"/>
        <v>0</v>
      </c>
      <c r="K29" s="36">
        <f t="shared" si="12"/>
        <v>0</v>
      </c>
      <c r="L29" s="36">
        <f t="shared" si="12"/>
        <v>0</v>
      </c>
      <c r="M29" s="36">
        <f t="shared" si="12"/>
        <v>0</v>
      </c>
      <c r="N29" s="36">
        <f t="shared" si="12"/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  <c r="BZ29" s="26" t="s">
        <v>117</v>
      </c>
      <c r="CA29" s="37"/>
    </row>
    <row r="30" spans="1:79" ht="31.5" x14ac:dyDescent="0.25">
      <c r="A30" s="35" t="s">
        <v>189</v>
      </c>
      <c r="B30" s="35" t="s">
        <v>190</v>
      </c>
      <c r="C30" s="35" t="s">
        <v>126</v>
      </c>
      <c r="D30" s="36">
        <f t="shared" ref="D30:N32" si="13">SUM(D140)</f>
        <v>0</v>
      </c>
      <c r="E30" s="36">
        <f t="shared" si="13"/>
        <v>0</v>
      </c>
      <c r="F30" s="36">
        <f t="shared" si="13"/>
        <v>0</v>
      </c>
      <c r="G30" s="36">
        <f t="shared" si="13"/>
        <v>0</v>
      </c>
      <c r="H30" s="36">
        <f t="shared" si="13"/>
        <v>0</v>
      </c>
      <c r="I30" s="36">
        <f t="shared" si="13"/>
        <v>0</v>
      </c>
      <c r="J30" s="36">
        <f t="shared" si="13"/>
        <v>0</v>
      </c>
      <c r="K30" s="36">
        <f t="shared" si="13"/>
        <v>0</v>
      </c>
      <c r="L30" s="36">
        <f t="shared" si="13"/>
        <v>0</v>
      </c>
      <c r="M30" s="36">
        <f t="shared" si="13"/>
        <v>0</v>
      </c>
      <c r="N30" s="36">
        <f t="shared" si="13"/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  <c r="BZ30" s="26" t="s">
        <v>117</v>
      </c>
      <c r="CA30" s="37"/>
    </row>
    <row r="31" spans="1:79" ht="47.25" x14ac:dyDescent="0.25">
      <c r="A31" s="35" t="s">
        <v>191</v>
      </c>
      <c r="B31" s="35" t="s">
        <v>192</v>
      </c>
      <c r="C31" s="35" t="s">
        <v>126</v>
      </c>
      <c r="D31" s="36">
        <f t="shared" si="13"/>
        <v>0</v>
      </c>
      <c r="E31" s="36">
        <f t="shared" si="13"/>
        <v>0</v>
      </c>
      <c r="F31" s="36">
        <f t="shared" si="13"/>
        <v>0</v>
      </c>
      <c r="G31" s="36">
        <f t="shared" si="13"/>
        <v>0</v>
      </c>
      <c r="H31" s="36">
        <f t="shared" si="13"/>
        <v>0</v>
      </c>
      <c r="I31" s="36">
        <f t="shared" si="13"/>
        <v>0</v>
      </c>
      <c r="J31" s="36">
        <f t="shared" si="13"/>
        <v>0</v>
      </c>
      <c r="K31" s="36">
        <f t="shared" si="13"/>
        <v>0</v>
      </c>
      <c r="L31" s="36">
        <f t="shared" si="13"/>
        <v>0</v>
      </c>
      <c r="M31" s="36">
        <f t="shared" si="13"/>
        <v>0</v>
      </c>
      <c r="N31" s="36">
        <f t="shared" si="13"/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26" t="s">
        <v>117</v>
      </c>
      <c r="CA31" s="37"/>
    </row>
    <row r="32" spans="1:79" x14ac:dyDescent="0.25">
      <c r="A32" s="35" t="s">
        <v>193</v>
      </c>
      <c r="B32" s="35" t="s">
        <v>194</v>
      </c>
      <c r="C32" s="35" t="s">
        <v>126</v>
      </c>
      <c r="D32" s="36">
        <f t="shared" si="13"/>
        <v>0</v>
      </c>
      <c r="E32" s="36">
        <f t="shared" si="13"/>
        <v>0</v>
      </c>
      <c r="F32" s="36">
        <f t="shared" si="13"/>
        <v>0</v>
      </c>
      <c r="G32" s="36">
        <f t="shared" si="13"/>
        <v>0</v>
      </c>
      <c r="H32" s="36">
        <f t="shared" ref="H32:AM32" si="14">H109</f>
        <v>4.6111840000000001E-2</v>
      </c>
      <c r="I32" s="36">
        <f t="shared" si="14"/>
        <v>11.355730830000001</v>
      </c>
      <c r="J32" s="36">
        <f t="shared" si="14"/>
        <v>0</v>
      </c>
      <c r="K32" s="36">
        <f t="shared" si="14"/>
        <v>0</v>
      </c>
      <c r="L32" s="36">
        <f t="shared" si="14"/>
        <v>0</v>
      </c>
      <c r="M32" s="36">
        <f t="shared" si="14"/>
        <v>0</v>
      </c>
      <c r="N32" s="36">
        <f t="shared" si="14"/>
        <v>0</v>
      </c>
      <c r="O32" s="36">
        <f t="shared" si="14"/>
        <v>12.660296322132</v>
      </c>
      <c r="P32" s="36">
        <f t="shared" si="14"/>
        <v>12.660296322132</v>
      </c>
      <c r="Q32" s="36">
        <f t="shared" si="14"/>
        <v>12.660296322132</v>
      </c>
      <c r="R32" s="36">
        <f t="shared" si="14"/>
        <v>6.3917055960000004</v>
      </c>
      <c r="S32" s="36">
        <f t="shared" si="14"/>
        <v>6.1524351960000008</v>
      </c>
      <c r="T32" s="36">
        <f t="shared" si="14"/>
        <v>5.4333111600000006</v>
      </c>
      <c r="U32" s="36">
        <f t="shared" si="14"/>
        <v>0</v>
      </c>
      <c r="V32" s="36">
        <f t="shared" si="14"/>
        <v>0</v>
      </c>
      <c r="W32" s="36">
        <f t="shared" si="14"/>
        <v>0</v>
      </c>
      <c r="X32" s="36">
        <f t="shared" si="14"/>
        <v>0</v>
      </c>
      <c r="Y32" s="36">
        <f t="shared" si="14"/>
        <v>0</v>
      </c>
      <c r="Z32" s="36">
        <f t="shared" si="14"/>
        <v>0</v>
      </c>
      <c r="AA32" s="36">
        <f t="shared" si="14"/>
        <v>0</v>
      </c>
      <c r="AB32" s="36">
        <f t="shared" si="14"/>
        <v>6.2685907261320004</v>
      </c>
      <c r="AC32" s="36">
        <f t="shared" si="14"/>
        <v>0</v>
      </c>
      <c r="AD32" s="36">
        <f t="shared" si="14"/>
        <v>0</v>
      </c>
      <c r="AE32" s="36">
        <f t="shared" si="14"/>
        <v>6.2685907261320004</v>
      </c>
      <c r="AF32" s="36">
        <f t="shared" si="14"/>
        <v>0</v>
      </c>
      <c r="AG32" s="36">
        <f t="shared" si="14"/>
        <v>0.23927039999999999</v>
      </c>
      <c r="AH32" s="36">
        <f t="shared" si="14"/>
        <v>0</v>
      </c>
      <c r="AI32" s="36">
        <f t="shared" si="14"/>
        <v>0</v>
      </c>
      <c r="AJ32" s="36">
        <f t="shared" si="14"/>
        <v>0.23927039999999999</v>
      </c>
      <c r="AK32" s="36">
        <f t="shared" si="14"/>
        <v>0</v>
      </c>
      <c r="AL32" s="36">
        <f t="shared" si="14"/>
        <v>0</v>
      </c>
      <c r="AM32" s="36">
        <f t="shared" si="14"/>
        <v>0</v>
      </c>
      <c r="AN32" s="36">
        <f t="shared" ref="AN32:BS32" si="15">AN109</f>
        <v>0</v>
      </c>
      <c r="AO32" s="36">
        <f t="shared" si="15"/>
        <v>0</v>
      </c>
      <c r="AP32" s="36">
        <f t="shared" si="15"/>
        <v>0</v>
      </c>
      <c r="AQ32" s="36">
        <f t="shared" si="15"/>
        <v>0.71912403600000008</v>
      </c>
      <c r="AR32" s="36">
        <f t="shared" si="15"/>
        <v>0</v>
      </c>
      <c r="AS32" s="36">
        <f t="shared" si="15"/>
        <v>0</v>
      </c>
      <c r="AT32" s="36">
        <f t="shared" si="15"/>
        <v>0.71912403600000008</v>
      </c>
      <c r="AU32" s="36">
        <f t="shared" si="15"/>
        <v>0</v>
      </c>
      <c r="AV32" s="36">
        <f t="shared" si="15"/>
        <v>5.4333111600000006</v>
      </c>
      <c r="AW32" s="36">
        <f t="shared" si="15"/>
        <v>0</v>
      </c>
      <c r="AX32" s="36">
        <f t="shared" si="15"/>
        <v>0</v>
      </c>
      <c r="AY32" s="36">
        <f t="shared" si="15"/>
        <v>5.4333111600000006</v>
      </c>
      <c r="AZ32" s="36">
        <f t="shared" si="15"/>
        <v>0</v>
      </c>
      <c r="BA32" s="36">
        <f t="shared" si="15"/>
        <v>0</v>
      </c>
      <c r="BB32" s="36">
        <f t="shared" si="15"/>
        <v>0</v>
      </c>
      <c r="BC32" s="36">
        <f t="shared" si="15"/>
        <v>0</v>
      </c>
      <c r="BD32" s="36">
        <f t="shared" si="15"/>
        <v>0</v>
      </c>
      <c r="BE32" s="36">
        <f t="shared" si="15"/>
        <v>0</v>
      </c>
      <c r="BF32" s="36">
        <f t="shared" si="15"/>
        <v>0</v>
      </c>
      <c r="BG32" s="36">
        <f t="shared" si="15"/>
        <v>0</v>
      </c>
      <c r="BH32" s="36">
        <f t="shared" si="15"/>
        <v>0</v>
      </c>
      <c r="BI32" s="36">
        <f t="shared" si="15"/>
        <v>0</v>
      </c>
      <c r="BJ32" s="36">
        <f t="shared" si="15"/>
        <v>0</v>
      </c>
      <c r="BK32" s="36">
        <f t="shared" si="15"/>
        <v>0</v>
      </c>
      <c r="BL32" s="36">
        <f t="shared" si="15"/>
        <v>0</v>
      </c>
      <c r="BM32" s="36">
        <f t="shared" si="15"/>
        <v>0</v>
      </c>
      <c r="BN32" s="36">
        <f t="shared" si="15"/>
        <v>0</v>
      </c>
      <c r="BO32" s="36">
        <f t="shared" si="15"/>
        <v>0</v>
      </c>
      <c r="BP32" s="36">
        <f t="shared" si="15"/>
        <v>0</v>
      </c>
      <c r="BQ32" s="36">
        <f t="shared" si="15"/>
        <v>0</v>
      </c>
      <c r="BR32" s="36">
        <f t="shared" si="15"/>
        <v>0</v>
      </c>
      <c r="BS32" s="36">
        <f t="shared" si="15"/>
        <v>0</v>
      </c>
      <c r="BT32" s="36">
        <f t="shared" ref="BT32:BY32" si="16">BT109</f>
        <v>0</v>
      </c>
      <c r="BU32" s="36">
        <f t="shared" si="16"/>
        <v>12.660296322132</v>
      </c>
      <c r="BV32" s="36">
        <f t="shared" si="16"/>
        <v>0</v>
      </c>
      <c r="BW32" s="36">
        <f t="shared" si="16"/>
        <v>0</v>
      </c>
      <c r="BX32" s="36">
        <f t="shared" si="16"/>
        <v>12.660296322132</v>
      </c>
      <c r="BY32" s="36">
        <f t="shared" si="16"/>
        <v>0</v>
      </c>
      <c r="BZ32" s="26" t="s">
        <v>117</v>
      </c>
      <c r="CA32" s="37"/>
    </row>
    <row r="33" spans="1:79" x14ac:dyDescent="0.25">
      <c r="A33" s="35"/>
      <c r="B33" s="3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26" t="s">
        <v>117</v>
      </c>
      <c r="CA33" s="37"/>
    </row>
    <row r="34" spans="1:79" s="12" customFormat="1" x14ac:dyDescent="0.25">
      <c r="A34" s="22" t="s">
        <v>35</v>
      </c>
      <c r="B34" s="23" t="s">
        <v>123</v>
      </c>
      <c r="C34" s="24" t="s">
        <v>117</v>
      </c>
      <c r="D34" s="24" t="s">
        <v>117</v>
      </c>
      <c r="E34" s="24" t="s">
        <v>117</v>
      </c>
      <c r="F34" s="24" t="s">
        <v>117</v>
      </c>
      <c r="G34" s="24" t="s">
        <v>117</v>
      </c>
      <c r="H34" s="25">
        <f>H35+H56+H109</f>
        <v>98.52103726033998</v>
      </c>
      <c r="I34" s="25">
        <f>I35+I56+I109</f>
        <v>773.05928516371989</v>
      </c>
      <c r="J34" s="25" t="s">
        <v>117</v>
      </c>
      <c r="K34" s="25">
        <f>K35</f>
        <v>25.37238</v>
      </c>
      <c r="L34" s="25">
        <f t="shared" ref="L34:AQ34" si="17">L35+L56+L109</f>
        <v>2.0511050879999999</v>
      </c>
      <c r="M34" s="25">
        <f t="shared" si="17"/>
        <v>2735.1711709545598</v>
      </c>
      <c r="N34" s="25">
        <f t="shared" si="17"/>
        <v>3006.3013263672124</v>
      </c>
      <c r="O34" s="25">
        <f t="shared" si="17"/>
        <v>912.55288227901212</v>
      </c>
      <c r="P34" s="25">
        <f t="shared" si="17"/>
        <v>910.50177719101225</v>
      </c>
      <c r="Q34" s="25">
        <f t="shared" si="17"/>
        <v>907.03123799101218</v>
      </c>
      <c r="R34" s="25">
        <f t="shared" si="17"/>
        <v>755.32453402895987</v>
      </c>
      <c r="S34" s="25">
        <f t="shared" si="17"/>
        <v>611.28950915286009</v>
      </c>
      <c r="T34" s="25">
        <f t="shared" si="17"/>
        <v>460.10926272749998</v>
      </c>
      <c r="U34" s="25">
        <f t="shared" si="17"/>
        <v>327.95928181499994</v>
      </c>
      <c r="V34" s="25">
        <f t="shared" si="17"/>
        <v>178.20330902531998</v>
      </c>
      <c r="W34" s="25">
        <f t="shared" si="17"/>
        <v>3.4705392000000002</v>
      </c>
      <c r="X34" s="25">
        <f t="shared" si="17"/>
        <v>0</v>
      </c>
      <c r="Y34" s="25">
        <f t="shared" si="17"/>
        <v>0</v>
      </c>
      <c r="Z34" s="25">
        <f t="shared" si="17"/>
        <v>3.4705392000000002</v>
      </c>
      <c r="AA34" s="25">
        <f t="shared" si="17"/>
        <v>0</v>
      </c>
      <c r="AB34" s="25">
        <f t="shared" si="17"/>
        <v>151.70670396205199</v>
      </c>
      <c r="AC34" s="25">
        <f t="shared" si="17"/>
        <v>0</v>
      </c>
      <c r="AD34" s="25">
        <f t="shared" si="17"/>
        <v>0</v>
      </c>
      <c r="AE34" s="25">
        <f t="shared" si="17"/>
        <v>126.33432396205198</v>
      </c>
      <c r="AF34" s="25">
        <f t="shared" si="17"/>
        <v>25.37238</v>
      </c>
      <c r="AG34" s="25">
        <f t="shared" si="17"/>
        <v>144.03502487610001</v>
      </c>
      <c r="AH34" s="25">
        <f t="shared" si="17"/>
        <v>0</v>
      </c>
      <c r="AI34" s="25">
        <f t="shared" si="17"/>
        <v>0</v>
      </c>
      <c r="AJ34" s="25">
        <f t="shared" si="17"/>
        <v>144.03502487610001</v>
      </c>
      <c r="AK34" s="25">
        <f t="shared" si="17"/>
        <v>0</v>
      </c>
      <c r="AL34" s="25" t="e">
        <f t="shared" si="17"/>
        <v>#REF!</v>
      </c>
      <c r="AM34" s="25" t="e">
        <f t="shared" si="17"/>
        <v>#REF!</v>
      </c>
      <c r="AN34" s="25" t="e">
        <f t="shared" si="17"/>
        <v>#REF!</v>
      </c>
      <c r="AO34" s="25" t="e">
        <f t="shared" si="17"/>
        <v>#REF!</v>
      </c>
      <c r="AP34" s="25" t="e">
        <f t="shared" si="17"/>
        <v>#REF!</v>
      </c>
      <c r="AQ34" s="25">
        <f t="shared" si="17"/>
        <v>151.18024642536002</v>
      </c>
      <c r="AR34" s="25">
        <f t="shared" ref="AR34:BW34" si="18">AR35+AR56+AR109</f>
        <v>0</v>
      </c>
      <c r="AS34" s="25">
        <f t="shared" si="18"/>
        <v>0</v>
      </c>
      <c r="AT34" s="25">
        <f t="shared" si="18"/>
        <v>151.18024642536002</v>
      </c>
      <c r="AU34" s="25">
        <f t="shared" si="18"/>
        <v>0</v>
      </c>
      <c r="AV34" s="25">
        <f t="shared" si="18"/>
        <v>132.14998091250001</v>
      </c>
      <c r="AW34" s="25">
        <f t="shared" si="18"/>
        <v>0</v>
      </c>
      <c r="AX34" s="25">
        <f t="shared" si="18"/>
        <v>0</v>
      </c>
      <c r="AY34" s="25">
        <f t="shared" si="18"/>
        <v>132.14998091250001</v>
      </c>
      <c r="AZ34" s="25">
        <f t="shared" si="18"/>
        <v>0</v>
      </c>
      <c r="BA34" s="25">
        <f t="shared" si="18"/>
        <v>149.75597278967999</v>
      </c>
      <c r="BB34" s="25">
        <f t="shared" si="18"/>
        <v>0</v>
      </c>
      <c r="BC34" s="25">
        <f t="shared" si="18"/>
        <v>0</v>
      </c>
      <c r="BD34" s="25">
        <f t="shared" si="18"/>
        <v>149.75597278967999</v>
      </c>
      <c r="BE34" s="25">
        <f t="shared" si="18"/>
        <v>0</v>
      </c>
      <c r="BF34" s="25">
        <f t="shared" si="18"/>
        <v>178.20330902531998</v>
      </c>
      <c r="BG34" s="25">
        <f t="shared" si="18"/>
        <v>0</v>
      </c>
      <c r="BH34" s="25">
        <f t="shared" si="18"/>
        <v>0</v>
      </c>
      <c r="BI34" s="25">
        <f t="shared" si="18"/>
        <v>178.20330902531998</v>
      </c>
      <c r="BJ34" s="25">
        <f t="shared" si="18"/>
        <v>0</v>
      </c>
      <c r="BK34" s="25" t="e">
        <f t="shared" si="18"/>
        <v>#VALUE!</v>
      </c>
      <c r="BL34" s="25" t="e">
        <f t="shared" si="18"/>
        <v>#VALUE!</v>
      </c>
      <c r="BM34" s="25" t="e">
        <f t="shared" si="18"/>
        <v>#VALUE!</v>
      </c>
      <c r="BN34" s="25" t="e">
        <f t="shared" si="18"/>
        <v>#VALUE!</v>
      </c>
      <c r="BO34" s="25" t="e">
        <f t="shared" si="18"/>
        <v>#VALUE!</v>
      </c>
      <c r="BP34" s="25" t="e">
        <f t="shared" si="18"/>
        <v>#VALUE!</v>
      </c>
      <c r="BQ34" s="25" t="e">
        <f t="shared" si="18"/>
        <v>#VALUE!</v>
      </c>
      <c r="BR34" s="25" t="e">
        <f t="shared" si="18"/>
        <v>#VALUE!</v>
      </c>
      <c r="BS34" s="25" t="e">
        <f t="shared" si="18"/>
        <v>#VALUE!</v>
      </c>
      <c r="BT34" s="25" t="e">
        <f t="shared" si="18"/>
        <v>#VALUE!</v>
      </c>
      <c r="BU34" s="25">
        <f t="shared" si="18"/>
        <v>907.03123799101218</v>
      </c>
      <c r="BV34" s="25">
        <f t="shared" si="18"/>
        <v>0</v>
      </c>
      <c r="BW34" s="25">
        <f t="shared" si="18"/>
        <v>0</v>
      </c>
      <c r="BX34" s="25">
        <f t="shared" ref="BX34:BY34" si="19">BX35+BX56+BX109</f>
        <v>881.65885799101216</v>
      </c>
      <c r="BY34" s="25">
        <f t="shared" si="19"/>
        <v>25.37238</v>
      </c>
      <c r="BZ34" s="26" t="s">
        <v>117</v>
      </c>
    </row>
    <row r="35" spans="1:79" s="13" customFormat="1" ht="31.5" x14ac:dyDescent="0.25">
      <c r="A35" s="27" t="s">
        <v>36</v>
      </c>
      <c r="B35" s="28" t="s">
        <v>37</v>
      </c>
      <c r="C35" s="26" t="s">
        <v>126</v>
      </c>
      <c r="D35" s="26" t="s">
        <v>117</v>
      </c>
      <c r="E35" s="26" t="s">
        <v>117</v>
      </c>
      <c r="F35" s="26" t="s">
        <v>117</v>
      </c>
      <c r="G35" s="26" t="s">
        <v>117</v>
      </c>
      <c r="H35" s="29">
        <v>0</v>
      </c>
      <c r="I35" s="29">
        <f>I36</f>
        <v>25.37238</v>
      </c>
      <c r="J35" s="29" t="str">
        <f t="shared" ref="J35:BY35" si="20">J36</f>
        <v>нд</v>
      </c>
      <c r="K35" s="29">
        <f t="shared" si="20"/>
        <v>25.37238</v>
      </c>
      <c r="L35" s="29">
        <f t="shared" si="20"/>
        <v>0</v>
      </c>
      <c r="M35" s="29">
        <f t="shared" si="20"/>
        <v>0</v>
      </c>
      <c r="N35" s="29">
        <f t="shared" si="20"/>
        <v>0</v>
      </c>
      <c r="O35" s="29">
        <f t="shared" si="20"/>
        <v>25.37238</v>
      </c>
      <c r="P35" s="29">
        <f>P36</f>
        <v>25.37238</v>
      </c>
      <c r="Q35" s="29">
        <f t="shared" si="20"/>
        <v>25.37238</v>
      </c>
      <c r="R35" s="29">
        <f t="shared" si="20"/>
        <v>0</v>
      </c>
      <c r="S35" s="29">
        <f t="shared" si="20"/>
        <v>0</v>
      </c>
      <c r="T35" s="29">
        <f t="shared" si="20"/>
        <v>0</v>
      </c>
      <c r="U35" s="29">
        <f t="shared" si="20"/>
        <v>0</v>
      </c>
      <c r="V35" s="29">
        <f t="shared" si="20"/>
        <v>0</v>
      </c>
      <c r="W35" s="29">
        <f t="shared" si="20"/>
        <v>0</v>
      </c>
      <c r="X35" s="29">
        <f t="shared" si="20"/>
        <v>0</v>
      </c>
      <c r="Y35" s="29">
        <f t="shared" si="20"/>
        <v>0</v>
      </c>
      <c r="Z35" s="29">
        <f t="shared" si="20"/>
        <v>0</v>
      </c>
      <c r="AA35" s="29">
        <f t="shared" si="20"/>
        <v>0</v>
      </c>
      <c r="AB35" s="29">
        <f t="shared" ref="AB35" si="21">AB36</f>
        <v>25.37238</v>
      </c>
      <c r="AC35" s="29">
        <f t="shared" ref="AC35" si="22">AC36</f>
        <v>0</v>
      </c>
      <c r="AD35" s="29">
        <f t="shared" ref="AD35" si="23">AD36</f>
        <v>0</v>
      </c>
      <c r="AE35" s="29">
        <f t="shared" ref="AE35" si="24">AE36</f>
        <v>0</v>
      </c>
      <c r="AF35" s="29">
        <f t="shared" ref="AF35" si="25">AF36</f>
        <v>25.37238</v>
      </c>
      <c r="AG35" s="29">
        <f t="shared" si="20"/>
        <v>0</v>
      </c>
      <c r="AH35" s="29">
        <f t="shared" si="20"/>
        <v>0</v>
      </c>
      <c r="AI35" s="29">
        <f t="shared" si="20"/>
        <v>0</v>
      </c>
      <c r="AJ35" s="29">
        <f t="shared" si="20"/>
        <v>0</v>
      </c>
      <c r="AK35" s="29">
        <f t="shared" si="20"/>
        <v>0</v>
      </c>
      <c r="AL35" s="29">
        <f t="shared" si="20"/>
        <v>0</v>
      </c>
      <c r="AM35" s="29">
        <f t="shared" si="20"/>
        <v>0</v>
      </c>
      <c r="AN35" s="29">
        <f t="shared" si="20"/>
        <v>0</v>
      </c>
      <c r="AO35" s="29">
        <f t="shared" si="20"/>
        <v>0</v>
      </c>
      <c r="AP35" s="29">
        <f t="shared" si="20"/>
        <v>0</v>
      </c>
      <c r="AQ35" s="29">
        <f t="shared" si="20"/>
        <v>0</v>
      </c>
      <c r="AR35" s="29">
        <f t="shared" si="20"/>
        <v>0</v>
      </c>
      <c r="AS35" s="29">
        <f t="shared" si="20"/>
        <v>0</v>
      </c>
      <c r="AT35" s="29">
        <f t="shared" si="20"/>
        <v>0</v>
      </c>
      <c r="AU35" s="29">
        <f t="shared" si="20"/>
        <v>0</v>
      </c>
      <c r="AV35" s="29">
        <f t="shared" si="20"/>
        <v>0</v>
      </c>
      <c r="AW35" s="29">
        <f t="shared" si="20"/>
        <v>0</v>
      </c>
      <c r="AX35" s="29">
        <f t="shared" si="20"/>
        <v>0</v>
      </c>
      <c r="AY35" s="29">
        <f t="shared" si="20"/>
        <v>0</v>
      </c>
      <c r="AZ35" s="29">
        <f t="shared" si="20"/>
        <v>0</v>
      </c>
      <c r="BA35" s="29">
        <f t="shared" si="20"/>
        <v>0</v>
      </c>
      <c r="BB35" s="29">
        <f t="shared" si="20"/>
        <v>0</v>
      </c>
      <c r="BC35" s="29">
        <f t="shared" si="20"/>
        <v>0</v>
      </c>
      <c r="BD35" s="29">
        <f t="shared" si="20"/>
        <v>0</v>
      </c>
      <c r="BE35" s="29">
        <f t="shared" si="20"/>
        <v>0</v>
      </c>
      <c r="BF35" s="29">
        <f t="shared" si="20"/>
        <v>0</v>
      </c>
      <c r="BG35" s="29">
        <f t="shared" si="20"/>
        <v>0</v>
      </c>
      <c r="BH35" s="29">
        <f t="shared" si="20"/>
        <v>0</v>
      </c>
      <c r="BI35" s="29">
        <f t="shared" si="20"/>
        <v>0</v>
      </c>
      <c r="BJ35" s="29">
        <f t="shared" si="20"/>
        <v>0</v>
      </c>
      <c r="BK35" s="29">
        <f t="shared" si="20"/>
        <v>0</v>
      </c>
      <c r="BL35" s="29">
        <f t="shared" si="20"/>
        <v>0</v>
      </c>
      <c r="BM35" s="29">
        <f t="shared" si="20"/>
        <v>0</v>
      </c>
      <c r="BN35" s="29">
        <f t="shared" si="20"/>
        <v>0</v>
      </c>
      <c r="BO35" s="29">
        <f t="shared" si="20"/>
        <v>0</v>
      </c>
      <c r="BP35" s="29">
        <f t="shared" si="20"/>
        <v>0</v>
      </c>
      <c r="BQ35" s="29">
        <f t="shared" si="20"/>
        <v>0</v>
      </c>
      <c r="BR35" s="29">
        <f t="shared" si="20"/>
        <v>0</v>
      </c>
      <c r="BS35" s="29">
        <f t="shared" si="20"/>
        <v>0</v>
      </c>
      <c r="BT35" s="29">
        <f t="shared" si="20"/>
        <v>0</v>
      </c>
      <c r="BU35" s="29">
        <f t="shared" si="20"/>
        <v>25.37238</v>
      </c>
      <c r="BV35" s="29">
        <f t="shared" si="20"/>
        <v>0</v>
      </c>
      <c r="BW35" s="29">
        <f t="shared" si="20"/>
        <v>0</v>
      </c>
      <c r="BX35" s="29">
        <f t="shared" si="20"/>
        <v>0</v>
      </c>
      <c r="BY35" s="29">
        <f t="shared" si="20"/>
        <v>25.37238</v>
      </c>
      <c r="BZ35" s="26" t="s">
        <v>117</v>
      </c>
    </row>
    <row r="36" spans="1:79" s="13" customFormat="1" ht="47.25" x14ac:dyDescent="0.25">
      <c r="A36" s="27" t="s">
        <v>38</v>
      </c>
      <c r="B36" s="28" t="s">
        <v>39</v>
      </c>
      <c r="C36" s="26" t="s">
        <v>126</v>
      </c>
      <c r="D36" s="26" t="s">
        <v>117</v>
      </c>
      <c r="E36" s="26" t="s">
        <v>117</v>
      </c>
      <c r="F36" s="26" t="s">
        <v>117</v>
      </c>
      <c r="G36" s="26" t="s">
        <v>117</v>
      </c>
      <c r="H36" s="29">
        <v>0</v>
      </c>
      <c r="I36" s="29">
        <f>I39</f>
        <v>25.37238</v>
      </c>
      <c r="J36" s="29" t="str">
        <f t="shared" ref="J36:BY36" si="26">J39</f>
        <v>нд</v>
      </c>
      <c r="K36" s="29">
        <f t="shared" si="26"/>
        <v>25.37238</v>
      </c>
      <c r="L36" s="29">
        <f t="shared" si="26"/>
        <v>0</v>
      </c>
      <c r="M36" s="29">
        <f t="shared" si="26"/>
        <v>0</v>
      </c>
      <c r="N36" s="29">
        <f t="shared" si="26"/>
        <v>0</v>
      </c>
      <c r="O36" s="29">
        <f t="shared" si="26"/>
        <v>25.37238</v>
      </c>
      <c r="P36" s="29">
        <f t="shared" si="26"/>
        <v>25.37238</v>
      </c>
      <c r="Q36" s="29">
        <f t="shared" si="26"/>
        <v>25.37238</v>
      </c>
      <c r="R36" s="29">
        <f t="shared" si="26"/>
        <v>0</v>
      </c>
      <c r="S36" s="29">
        <f t="shared" si="26"/>
        <v>0</v>
      </c>
      <c r="T36" s="29">
        <f t="shared" si="26"/>
        <v>0</v>
      </c>
      <c r="U36" s="29">
        <f t="shared" si="26"/>
        <v>0</v>
      </c>
      <c r="V36" s="29">
        <f t="shared" si="26"/>
        <v>0</v>
      </c>
      <c r="W36" s="29">
        <f t="shared" si="26"/>
        <v>0</v>
      </c>
      <c r="X36" s="29">
        <f t="shared" si="26"/>
        <v>0</v>
      </c>
      <c r="Y36" s="29">
        <f t="shared" si="26"/>
        <v>0</v>
      </c>
      <c r="Z36" s="29">
        <f t="shared" si="26"/>
        <v>0</v>
      </c>
      <c r="AA36" s="29">
        <f t="shared" si="26"/>
        <v>0</v>
      </c>
      <c r="AB36" s="29">
        <f t="shared" si="26"/>
        <v>25.37238</v>
      </c>
      <c r="AC36" s="29">
        <f t="shared" si="26"/>
        <v>0</v>
      </c>
      <c r="AD36" s="29">
        <f t="shared" si="26"/>
        <v>0</v>
      </c>
      <c r="AE36" s="29">
        <f t="shared" si="26"/>
        <v>0</v>
      </c>
      <c r="AF36" s="29">
        <f t="shared" si="26"/>
        <v>25.37238</v>
      </c>
      <c r="AG36" s="29">
        <f t="shared" si="26"/>
        <v>0</v>
      </c>
      <c r="AH36" s="29">
        <f t="shared" si="26"/>
        <v>0</v>
      </c>
      <c r="AI36" s="29">
        <f t="shared" si="26"/>
        <v>0</v>
      </c>
      <c r="AJ36" s="29">
        <f t="shared" si="26"/>
        <v>0</v>
      </c>
      <c r="AK36" s="29">
        <f t="shared" si="26"/>
        <v>0</v>
      </c>
      <c r="AL36" s="29">
        <f t="shared" si="26"/>
        <v>0</v>
      </c>
      <c r="AM36" s="29">
        <f t="shared" si="26"/>
        <v>0</v>
      </c>
      <c r="AN36" s="29">
        <f t="shared" si="26"/>
        <v>0</v>
      </c>
      <c r="AO36" s="29">
        <f t="shared" si="26"/>
        <v>0</v>
      </c>
      <c r="AP36" s="29">
        <f t="shared" si="26"/>
        <v>0</v>
      </c>
      <c r="AQ36" s="29">
        <f t="shared" si="26"/>
        <v>0</v>
      </c>
      <c r="AR36" s="29">
        <f t="shared" si="26"/>
        <v>0</v>
      </c>
      <c r="AS36" s="29">
        <f t="shared" si="26"/>
        <v>0</v>
      </c>
      <c r="AT36" s="29">
        <f t="shared" si="26"/>
        <v>0</v>
      </c>
      <c r="AU36" s="29">
        <f t="shared" si="26"/>
        <v>0</v>
      </c>
      <c r="AV36" s="29">
        <f t="shared" si="26"/>
        <v>0</v>
      </c>
      <c r="AW36" s="29">
        <f t="shared" si="26"/>
        <v>0</v>
      </c>
      <c r="AX36" s="29">
        <f t="shared" si="26"/>
        <v>0</v>
      </c>
      <c r="AY36" s="29">
        <f t="shared" si="26"/>
        <v>0</v>
      </c>
      <c r="AZ36" s="29">
        <f t="shared" si="26"/>
        <v>0</v>
      </c>
      <c r="BA36" s="29">
        <f t="shared" si="26"/>
        <v>0</v>
      </c>
      <c r="BB36" s="29">
        <f t="shared" si="26"/>
        <v>0</v>
      </c>
      <c r="BC36" s="29">
        <f t="shared" si="26"/>
        <v>0</v>
      </c>
      <c r="BD36" s="29">
        <f t="shared" si="26"/>
        <v>0</v>
      </c>
      <c r="BE36" s="29">
        <f t="shared" si="26"/>
        <v>0</v>
      </c>
      <c r="BF36" s="29">
        <f t="shared" si="26"/>
        <v>0</v>
      </c>
      <c r="BG36" s="29">
        <f t="shared" si="26"/>
        <v>0</v>
      </c>
      <c r="BH36" s="29">
        <f t="shared" si="26"/>
        <v>0</v>
      </c>
      <c r="BI36" s="29">
        <f t="shared" si="26"/>
        <v>0</v>
      </c>
      <c r="BJ36" s="29">
        <f t="shared" si="26"/>
        <v>0</v>
      </c>
      <c r="BK36" s="29">
        <f t="shared" si="26"/>
        <v>0</v>
      </c>
      <c r="BL36" s="29">
        <f t="shared" si="26"/>
        <v>0</v>
      </c>
      <c r="BM36" s="29">
        <f t="shared" si="26"/>
        <v>0</v>
      </c>
      <c r="BN36" s="29">
        <f t="shared" si="26"/>
        <v>0</v>
      </c>
      <c r="BO36" s="29">
        <f t="shared" si="26"/>
        <v>0</v>
      </c>
      <c r="BP36" s="29">
        <f t="shared" si="26"/>
        <v>0</v>
      </c>
      <c r="BQ36" s="29">
        <f t="shared" si="26"/>
        <v>0</v>
      </c>
      <c r="BR36" s="29">
        <f t="shared" si="26"/>
        <v>0</v>
      </c>
      <c r="BS36" s="29">
        <f t="shared" si="26"/>
        <v>0</v>
      </c>
      <c r="BT36" s="29">
        <f t="shared" si="26"/>
        <v>0</v>
      </c>
      <c r="BU36" s="29">
        <f t="shared" si="26"/>
        <v>25.37238</v>
      </c>
      <c r="BV36" s="29">
        <f t="shared" si="26"/>
        <v>0</v>
      </c>
      <c r="BW36" s="29">
        <f t="shared" si="26"/>
        <v>0</v>
      </c>
      <c r="BX36" s="29">
        <f t="shared" si="26"/>
        <v>0</v>
      </c>
      <c r="BY36" s="29">
        <f t="shared" si="26"/>
        <v>25.37238</v>
      </c>
      <c r="BZ36" s="26" t="s">
        <v>117</v>
      </c>
    </row>
    <row r="37" spans="1:79" s="13" customFormat="1" ht="63" hidden="1" x14ac:dyDescent="0.25">
      <c r="A37" s="27" t="s">
        <v>40</v>
      </c>
      <c r="B37" s="28" t="s">
        <v>41</v>
      </c>
      <c r="C37" s="26" t="s">
        <v>126</v>
      </c>
      <c r="D37" s="26" t="s">
        <v>117</v>
      </c>
      <c r="E37" s="26" t="s">
        <v>117</v>
      </c>
      <c r="F37" s="26" t="s">
        <v>117</v>
      </c>
      <c r="G37" s="26" t="s">
        <v>117</v>
      </c>
      <c r="H37" s="29">
        <v>0</v>
      </c>
      <c r="I37" s="29">
        <v>0</v>
      </c>
      <c r="J37" s="26" t="s">
        <v>117</v>
      </c>
      <c r="K37" s="29" t="e">
        <f>#REF!</f>
        <v>#REF!</v>
      </c>
      <c r="L37" s="29" t="e">
        <f>#REF!</f>
        <v>#REF!</v>
      </c>
      <c r="M37" s="29" t="e">
        <f>#REF!</f>
        <v>#REF!</v>
      </c>
      <c r="N37" s="29" t="e">
        <f>#REF!</f>
        <v>#REF!</v>
      </c>
      <c r="O37" s="29" t="e">
        <f>#REF!</f>
        <v>#REF!</v>
      </c>
      <c r="P37" s="29"/>
      <c r="Q37" s="29"/>
      <c r="R37" s="29" t="e">
        <f>#REF!</f>
        <v>#REF!</v>
      </c>
      <c r="S37" s="29"/>
      <c r="T37" s="29"/>
      <c r="U37" s="29" t="e">
        <f>#REF!</f>
        <v>#REF!</v>
      </c>
      <c r="V37" s="29" t="e">
        <f>#REF!</f>
        <v>#REF!</v>
      </c>
      <c r="W37" s="29" t="s">
        <v>117</v>
      </c>
      <c r="X37" s="29" t="s">
        <v>117</v>
      </c>
      <c r="Y37" s="29" t="s">
        <v>117</v>
      </c>
      <c r="Z37" s="29" t="s">
        <v>117</v>
      </c>
      <c r="AA37" s="29" t="s">
        <v>117</v>
      </c>
      <c r="AB37" s="29"/>
      <c r="AC37" s="29"/>
      <c r="AD37" s="29"/>
      <c r="AE37" s="29"/>
      <c r="AF37" s="29"/>
      <c r="AG37" s="29" t="e">
        <f>#REF!</f>
        <v>#REF!</v>
      </c>
      <c r="AH37" s="29" t="e">
        <f>#REF!</f>
        <v>#REF!</v>
      </c>
      <c r="AI37" s="29" t="e">
        <f>#REF!</f>
        <v>#REF!</v>
      </c>
      <c r="AJ37" s="29" t="e">
        <f>#REF!</f>
        <v>#REF!</v>
      </c>
      <c r="AK37" s="29" t="e">
        <f>#REF!</f>
        <v>#REF!</v>
      </c>
      <c r="AL37" s="29" t="e">
        <f>#REF!</f>
        <v>#REF!</v>
      </c>
      <c r="AM37" s="29" t="e">
        <f>#REF!</f>
        <v>#REF!</v>
      </c>
      <c r="AN37" s="29" t="e">
        <f>#REF!</f>
        <v>#REF!</v>
      </c>
      <c r="AO37" s="29" t="e">
        <f>#REF!</f>
        <v>#REF!</v>
      </c>
      <c r="AP37" s="29" t="e">
        <f>#REF!</f>
        <v>#REF!</v>
      </c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31"/>
      <c r="BV37" s="31"/>
      <c r="BW37" s="31"/>
      <c r="BX37" s="31"/>
      <c r="BY37" s="31"/>
      <c r="BZ37" s="26" t="s">
        <v>117</v>
      </c>
    </row>
    <row r="38" spans="1:79" s="13" customFormat="1" ht="123.75" hidden="1" customHeight="1" x14ac:dyDescent="0.25">
      <c r="A38" s="27" t="s">
        <v>42</v>
      </c>
      <c r="B38" s="28" t="s">
        <v>43</v>
      </c>
      <c r="C38" s="26" t="s">
        <v>126</v>
      </c>
      <c r="D38" s="26" t="s">
        <v>117</v>
      </c>
      <c r="E38" s="26" t="s">
        <v>117</v>
      </c>
      <c r="F38" s="26" t="s">
        <v>117</v>
      </c>
      <c r="G38" s="26" t="s">
        <v>117</v>
      </c>
      <c r="H38" s="29">
        <v>0</v>
      </c>
      <c r="I38" s="29">
        <v>0</v>
      </c>
      <c r="J38" s="26" t="s">
        <v>117</v>
      </c>
      <c r="K38" s="29" t="e">
        <f>#REF!</f>
        <v>#REF!</v>
      </c>
      <c r="L38" s="29" t="e">
        <f>#REF!</f>
        <v>#REF!</v>
      </c>
      <c r="M38" s="29" t="e">
        <f>#REF!</f>
        <v>#REF!</v>
      </c>
      <c r="N38" s="29" t="e">
        <f>#REF!</f>
        <v>#REF!</v>
      </c>
      <c r="O38" s="29" t="e">
        <f>#REF!</f>
        <v>#REF!</v>
      </c>
      <c r="P38" s="29"/>
      <c r="Q38" s="29"/>
      <c r="R38" s="29" t="e">
        <f>#REF!</f>
        <v>#REF!</v>
      </c>
      <c r="S38" s="29"/>
      <c r="T38" s="29"/>
      <c r="U38" s="29" t="e">
        <f>#REF!</f>
        <v>#REF!</v>
      </c>
      <c r="V38" s="29" t="e">
        <f>#REF!</f>
        <v>#REF!</v>
      </c>
      <c r="W38" s="29" t="s">
        <v>117</v>
      </c>
      <c r="X38" s="29" t="s">
        <v>117</v>
      </c>
      <c r="Y38" s="29" t="s">
        <v>117</v>
      </c>
      <c r="Z38" s="29" t="s">
        <v>117</v>
      </c>
      <c r="AA38" s="29" t="s">
        <v>117</v>
      </c>
      <c r="AB38" s="29"/>
      <c r="AC38" s="29"/>
      <c r="AD38" s="29"/>
      <c r="AE38" s="29"/>
      <c r="AF38" s="29"/>
      <c r="AG38" s="29" t="e">
        <f>#REF!</f>
        <v>#REF!</v>
      </c>
      <c r="AH38" s="29" t="e">
        <f>#REF!</f>
        <v>#REF!</v>
      </c>
      <c r="AI38" s="29" t="e">
        <f>#REF!</f>
        <v>#REF!</v>
      </c>
      <c r="AJ38" s="29" t="e">
        <f>#REF!</f>
        <v>#REF!</v>
      </c>
      <c r="AK38" s="29" t="e">
        <f>#REF!</f>
        <v>#REF!</v>
      </c>
      <c r="AL38" s="29" t="e">
        <f>#REF!</f>
        <v>#REF!</v>
      </c>
      <c r="AM38" s="29" t="e">
        <f>#REF!</f>
        <v>#REF!</v>
      </c>
      <c r="AN38" s="29" t="e">
        <f>#REF!</f>
        <v>#REF!</v>
      </c>
      <c r="AO38" s="29" t="e">
        <f>#REF!</f>
        <v>#REF!</v>
      </c>
      <c r="AP38" s="29" t="e">
        <f>#REF!</f>
        <v>#REF!</v>
      </c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31"/>
      <c r="BV38" s="31"/>
      <c r="BW38" s="31"/>
      <c r="BX38" s="31"/>
      <c r="BY38" s="31"/>
      <c r="BZ38" s="26" t="s">
        <v>117</v>
      </c>
    </row>
    <row r="39" spans="1:79" s="13" customFormat="1" ht="63" x14ac:dyDescent="0.25">
      <c r="A39" s="27" t="s">
        <v>44</v>
      </c>
      <c r="B39" s="28" t="s">
        <v>45</v>
      </c>
      <c r="C39" s="26" t="s">
        <v>126</v>
      </c>
      <c r="D39" s="26" t="s">
        <v>117</v>
      </c>
      <c r="E39" s="26" t="s">
        <v>117</v>
      </c>
      <c r="F39" s="26" t="s">
        <v>117</v>
      </c>
      <c r="G39" s="26" t="s">
        <v>117</v>
      </c>
      <c r="H39" s="29">
        <v>0</v>
      </c>
      <c r="I39" s="29">
        <f>I40</f>
        <v>25.37238</v>
      </c>
      <c r="J39" s="29" t="str">
        <f t="shared" ref="J39:BY39" si="27">J40</f>
        <v>нд</v>
      </c>
      <c r="K39" s="29">
        <f t="shared" si="27"/>
        <v>25.37238</v>
      </c>
      <c r="L39" s="29">
        <f t="shared" si="27"/>
        <v>0</v>
      </c>
      <c r="M39" s="29">
        <v>0</v>
      </c>
      <c r="N39" s="29">
        <v>0</v>
      </c>
      <c r="O39" s="29">
        <f t="shared" si="27"/>
        <v>25.37238</v>
      </c>
      <c r="P39" s="29">
        <f>P40</f>
        <v>25.37238</v>
      </c>
      <c r="Q39" s="29">
        <f t="shared" si="27"/>
        <v>25.37238</v>
      </c>
      <c r="R39" s="29">
        <f t="shared" si="27"/>
        <v>0</v>
      </c>
      <c r="S39" s="29">
        <f t="shared" si="27"/>
        <v>0</v>
      </c>
      <c r="T39" s="29">
        <f t="shared" si="27"/>
        <v>0</v>
      </c>
      <c r="U39" s="29">
        <f t="shared" si="27"/>
        <v>0</v>
      </c>
      <c r="V39" s="29">
        <f t="shared" si="27"/>
        <v>0</v>
      </c>
      <c r="W39" s="29">
        <f t="shared" si="27"/>
        <v>0</v>
      </c>
      <c r="X39" s="29">
        <f t="shared" si="27"/>
        <v>0</v>
      </c>
      <c r="Y39" s="29">
        <f t="shared" si="27"/>
        <v>0</v>
      </c>
      <c r="Z39" s="29">
        <f t="shared" si="27"/>
        <v>0</v>
      </c>
      <c r="AA39" s="29">
        <f t="shared" si="27"/>
        <v>0</v>
      </c>
      <c r="AB39" s="29">
        <f>AB40</f>
        <v>25.37238</v>
      </c>
      <c r="AC39" s="29">
        <f t="shared" ref="AC39" si="28">AC40</f>
        <v>0</v>
      </c>
      <c r="AD39" s="29">
        <f t="shared" ref="AD39" si="29">AD40</f>
        <v>0</v>
      </c>
      <c r="AE39" s="29">
        <f t="shared" ref="AE39" si="30">AE40</f>
        <v>0</v>
      </c>
      <c r="AF39" s="29">
        <f t="shared" ref="AF39" si="31">AF40</f>
        <v>25.37238</v>
      </c>
      <c r="AG39" s="29">
        <f t="shared" si="27"/>
        <v>0</v>
      </c>
      <c r="AH39" s="29">
        <f t="shared" si="27"/>
        <v>0</v>
      </c>
      <c r="AI39" s="29">
        <f t="shared" si="27"/>
        <v>0</v>
      </c>
      <c r="AJ39" s="29">
        <f t="shared" si="27"/>
        <v>0</v>
      </c>
      <c r="AK39" s="29">
        <f t="shared" si="27"/>
        <v>0</v>
      </c>
      <c r="AL39" s="29">
        <f t="shared" si="27"/>
        <v>0</v>
      </c>
      <c r="AM39" s="29">
        <f t="shared" si="27"/>
        <v>0</v>
      </c>
      <c r="AN39" s="29">
        <f t="shared" si="27"/>
        <v>0</v>
      </c>
      <c r="AO39" s="29">
        <f t="shared" si="27"/>
        <v>0</v>
      </c>
      <c r="AP39" s="29">
        <f t="shared" si="27"/>
        <v>0</v>
      </c>
      <c r="AQ39" s="29">
        <f t="shared" si="27"/>
        <v>0</v>
      </c>
      <c r="AR39" s="29">
        <f t="shared" si="27"/>
        <v>0</v>
      </c>
      <c r="AS39" s="29">
        <f t="shared" si="27"/>
        <v>0</v>
      </c>
      <c r="AT39" s="29">
        <f t="shared" si="27"/>
        <v>0</v>
      </c>
      <c r="AU39" s="29">
        <f t="shared" si="27"/>
        <v>0</v>
      </c>
      <c r="AV39" s="29">
        <f t="shared" si="27"/>
        <v>0</v>
      </c>
      <c r="AW39" s="29">
        <f t="shared" si="27"/>
        <v>0</v>
      </c>
      <c r="AX39" s="29">
        <f t="shared" si="27"/>
        <v>0</v>
      </c>
      <c r="AY39" s="29">
        <f t="shared" si="27"/>
        <v>0</v>
      </c>
      <c r="AZ39" s="29">
        <f t="shared" si="27"/>
        <v>0</v>
      </c>
      <c r="BA39" s="29">
        <f t="shared" si="27"/>
        <v>0</v>
      </c>
      <c r="BB39" s="29">
        <f t="shared" si="27"/>
        <v>0</v>
      </c>
      <c r="BC39" s="29">
        <f t="shared" si="27"/>
        <v>0</v>
      </c>
      <c r="BD39" s="29">
        <f t="shared" si="27"/>
        <v>0</v>
      </c>
      <c r="BE39" s="29">
        <f t="shared" si="27"/>
        <v>0</v>
      </c>
      <c r="BF39" s="29">
        <f t="shared" si="27"/>
        <v>0</v>
      </c>
      <c r="BG39" s="29">
        <f t="shared" si="27"/>
        <v>0</v>
      </c>
      <c r="BH39" s="29">
        <f t="shared" si="27"/>
        <v>0</v>
      </c>
      <c r="BI39" s="29">
        <f t="shared" si="27"/>
        <v>0</v>
      </c>
      <c r="BJ39" s="29">
        <f t="shared" si="27"/>
        <v>0</v>
      </c>
      <c r="BK39" s="29">
        <f t="shared" si="27"/>
        <v>0</v>
      </c>
      <c r="BL39" s="29">
        <f t="shared" si="27"/>
        <v>0</v>
      </c>
      <c r="BM39" s="29">
        <f t="shared" si="27"/>
        <v>0</v>
      </c>
      <c r="BN39" s="29">
        <f t="shared" si="27"/>
        <v>0</v>
      </c>
      <c r="BO39" s="29">
        <f t="shared" si="27"/>
        <v>0</v>
      </c>
      <c r="BP39" s="29">
        <f t="shared" si="27"/>
        <v>0</v>
      </c>
      <c r="BQ39" s="29">
        <f t="shared" si="27"/>
        <v>0</v>
      </c>
      <c r="BR39" s="29">
        <f t="shared" si="27"/>
        <v>0</v>
      </c>
      <c r="BS39" s="29">
        <f t="shared" si="27"/>
        <v>0</v>
      </c>
      <c r="BT39" s="29">
        <f t="shared" si="27"/>
        <v>0</v>
      </c>
      <c r="BU39" s="29">
        <f t="shared" si="27"/>
        <v>25.37238</v>
      </c>
      <c r="BV39" s="29">
        <f t="shared" si="27"/>
        <v>0</v>
      </c>
      <c r="BW39" s="29">
        <f t="shared" si="27"/>
        <v>0</v>
      </c>
      <c r="BX39" s="29">
        <f t="shared" si="27"/>
        <v>0</v>
      </c>
      <c r="BY39" s="29">
        <f t="shared" si="27"/>
        <v>25.37238</v>
      </c>
      <c r="BZ39" s="26" t="s">
        <v>117</v>
      </c>
    </row>
    <row r="40" spans="1:79" s="13" customFormat="1" ht="47.25" x14ac:dyDescent="0.25">
      <c r="A40" s="27" t="s">
        <v>225</v>
      </c>
      <c r="B40" s="30" t="s">
        <v>223</v>
      </c>
      <c r="C40" s="26" t="s">
        <v>224</v>
      </c>
      <c r="D40" s="26" t="s">
        <v>226</v>
      </c>
      <c r="E40" s="26">
        <v>2024</v>
      </c>
      <c r="F40" s="26">
        <v>2024</v>
      </c>
      <c r="G40" s="26"/>
      <c r="H40" s="29" t="s">
        <v>117</v>
      </c>
      <c r="I40" s="29">
        <v>25.37238</v>
      </c>
      <c r="J40" s="26" t="s">
        <v>117</v>
      </c>
      <c r="K40" s="26">
        <v>25.37238</v>
      </c>
      <c r="L40" s="29">
        <v>0</v>
      </c>
      <c r="M40" s="29" t="s">
        <v>117</v>
      </c>
      <c r="N40" s="29" t="s">
        <v>117</v>
      </c>
      <c r="O40" s="29">
        <v>25.37238</v>
      </c>
      <c r="P40" s="29">
        <v>25.37238</v>
      </c>
      <c r="Q40" s="29">
        <f>P40</f>
        <v>25.37238</v>
      </c>
      <c r="R40" s="29">
        <v>0</v>
      </c>
      <c r="S40" s="29">
        <v>0</v>
      </c>
      <c r="T40" s="29">
        <v>0</v>
      </c>
      <c r="U40" s="26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f>AF40</f>
        <v>25.37238</v>
      </c>
      <c r="AC40" s="29">
        <v>0</v>
      </c>
      <c r="AD40" s="29">
        <v>0</v>
      </c>
      <c r="AE40" s="29">
        <v>0</v>
      </c>
      <c r="AF40" s="29">
        <v>25.37238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/>
      <c r="AM40" s="29"/>
      <c r="AN40" s="29"/>
      <c r="AO40" s="29"/>
      <c r="AP40" s="29"/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31">
        <f>BF40+BA40+AV40+AQ40+AG40+AB40</f>
        <v>25.37238</v>
      </c>
      <c r="BV40" s="31">
        <f t="shared" ref="BV40:BX40" si="32">BG40+BB40+AW40+AR40+AH40+AC40</f>
        <v>0</v>
      </c>
      <c r="BW40" s="31">
        <f t="shared" si="32"/>
        <v>0</v>
      </c>
      <c r="BX40" s="31">
        <f t="shared" si="32"/>
        <v>0</v>
      </c>
      <c r="BY40" s="31">
        <f>BJ40+BE40+AZ40+AU40+AK40+AF40</f>
        <v>25.37238</v>
      </c>
      <c r="BZ40" s="52" t="s">
        <v>232</v>
      </c>
    </row>
    <row r="41" spans="1:79" s="13" customFormat="1" ht="47.25" hidden="1" x14ac:dyDescent="0.25">
      <c r="A41" s="27" t="s">
        <v>46</v>
      </c>
      <c r="B41" s="28" t="s">
        <v>47</v>
      </c>
      <c r="C41" s="26" t="s">
        <v>117</v>
      </c>
      <c r="D41" s="26" t="s">
        <v>117</v>
      </c>
      <c r="E41" s="26" t="s">
        <v>117</v>
      </c>
      <c r="F41" s="26" t="s">
        <v>117</v>
      </c>
      <c r="G41" s="26" t="s">
        <v>117</v>
      </c>
      <c r="H41" s="29">
        <v>0</v>
      </c>
      <c r="I41" s="29">
        <v>0</v>
      </c>
      <c r="J41" s="26" t="s">
        <v>117</v>
      </c>
      <c r="K41" s="26" t="s">
        <v>117</v>
      </c>
      <c r="L41" s="26" t="s">
        <v>117</v>
      </c>
      <c r="M41" s="29">
        <v>0</v>
      </c>
      <c r="N41" s="29">
        <v>0</v>
      </c>
      <c r="O41" s="29">
        <v>0</v>
      </c>
      <c r="P41" s="29"/>
      <c r="Q41" s="29"/>
      <c r="R41" s="29">
        <v>0</v>
      </c>
      <c r="S41" s="29"/>
      <c r="T41" s="29"/>
      <c r="U41" s="26" t="s">
        <v>117</v>
      </c>
      <c r="V41" s="29">
        <v>0</v>
      </c>
      <c r="W41" s="29" t="s">
        <v>117</v>
      </c>
      <c r="X41" s="29" t="s">
        <v>117</v>
      </c>
      <c r="Y41" s="29" t="s">
        <v>117</v>
      </c>
      <c r="Z41" s="29" t="s">
        <v>117</v>
      </c>
      <c r="AA41" s="29" t="s">
        <v>117</v>
      </c>
      <c r="AB41" s="29"/>
      <c r="AC41" s="29"/>
      <c r="AD41" s="29"/>
      <c r="AE41" s="29"/>
      <c r="AF41" s="29"/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31">
        <f t="shared" ref="AQ41:BY41" si="33">AQ42+AQ43</f>
        <v>0</v>
      </c>
      <c r="AR41" s="31">
        <f t="shared" si="33"/>
        <v>0</v>
      </c>
      <c r="AS41" s="31">
        <f t="shared" si="33"/>
        <v>0</v>
      </c>
      <c r="AT41" s="31">
        <f t="shared" si="33"/>
        <v>0</v>
      </c>
      <c r="AU41" s="31">
        <f t="shared" si="33"/>
        <v>0</v>
      </c>
      <c r="AV41" s="31">
        <f t="shared" si="33"/>
        <v>0</v>
      </c>
      <c r="AW41" s="31">
        <f t="shared" si="33"/>
        <v>0</v>
      </c>
      <c r="AX41" s="31">
        <f t="shared" si="33"/>
        <v>0</v>
      </c>
      <c r="AY41" s="31">
        <f t="shared" si="33"/>
        <v>0</v>
      </c>
      <c r="AZ41" s="31">
        <f t="shared" si="33"/>
        <v>0</v>
      </c>
      <c r="BA41" s="31">
        <f t="shared" si="33"/>
        <v>0</v>
      </c>
      <c r="BB41" s="31">
        <f t="shared" si="33"/>
        <v>0</v>
      </c>
      <c r="BC41" s="31">
        <f t="shared" si="33"/>
        <v>0</v>
      </c>
      <c r="BD41" s="31">
        <f t="shared" si="33"/>
        <v>0</v>
      </c>
      <c r="BE41" s="31">
        <f t="shared" si="33"/>
        <v>0</v>
      </c>
      <c r="BF41" s="31">
        <f t="shared" si="33"/>
        <v>0</v>
      </c>
      <c r="BG41" s="31">
        <f t="shared" si="33"/>
        <v>0</v>
      </c>
      <c r="BH41" s="31">
        <f t="shared" si="33"/>
        <v>0</v>
      </c>
      <c r="BI41" s="31">
        <f t="shared" si="33"/>
        <v>0</v>
      </c>
      <c r="BJ41" s="31">
        <f t="shared" si="33"/>
        <v>0</v>
      </c>
      <c r="BK41" s="26">
        <f t="shared" si="33"/>
        <v>0</v>
      </c>
      <c r="BL41" s="26">
        <f t="shared" si="33"/>
        <v>0</v>
      </c>
      <c r="BM41" s="26">
        <f t="shared" si="33"/>
        <v>0</v>
      </c>
      <c r="BN41" s="26">
        <f t="shared" si="33"/>
        <v>0</v>
      </c>
      <c r="BO41" s="26">
        <f t="shared" si="33"/>
        <v>0</v>
      </c>
      <c r="BP41" s="26">
        <f t="shared" si="33"/>
        <v>0</v>
      </c>
      <c r="BQ41" s="26">
        <f t="shared" si="33"/>
        <v>0</v>
      </c>
      <c r="BR41" s="26">
        <f t="shared" si="33"/>
        <v>0</v>
      </c>
      <c r="BS41" s="26">
        <f t="shared" si="33"/>
        <v>0</v>
      </c>
      <c r="BT41" s="26">
        <f t="shared" si="33"/>
        <v>0</v>
      </c>
      <c r="BU41" s="31">
        <f t="shared" si="33"/>
        <v>0</v>
      </c>
      <c r="BV41" s="31">
        <f t="shared" si="33"/>
        <v>0</v>
      </c>
      <c r="BW41" s="31">
        <f t="shared" si="33"/>
        <v>0</v>
      </c>
      <c r="BX41" s="31">
        <f t="shared" si="33"/>
        <v>0</v>
      </c>
      <c r="BY41" s="31">
        <f t="shared" si="33"/>
        <v>0</v>
      </c>
      <c r="BZ41" s="26" t="s">
        <v>117</v>
      </c>
    </row>
    <row r="42" spans="1:79" s="13" customFormat="1" ht="78.75" hidden="1" x14ac:dyDescent="0.25">
      <c r="A42" s="27" t="s">
        <v>48</v>
      </c>
      <c r="B42" s="28" t="s">
        <v>49</v>
      </c>
      <c r="C42" s="26" t="s">
        <v>117</v>
      </c>
      <c r="D42" s="26" t="s">
        <v>117</v>
      </c>
      <c r="E42" s="26" t="s">
        <v>117</v>
      </c>
      <c r="F42" s="26" t="s">
        <v>117</v>
      </c>
      <c r="G42" s="26" t="s">
        <v>117</v>
      </c>
      <c r="H42" s="29">
        <v>0</v>
      </c>
      <c r="I42" s="29">
        <v>0</v>
      </c>
      <c r="J42" s="26" t="s">
        <v>117</v>
      </c>
      <c r="K42" s="26" t="s">
        <v>117</v>
      </c>
      <c r="L42" s="26" t="s">
        <v>117</v>
      </c>
      <c r="M42" s="29">
        <v>0</v>
      </c>
      <c r="N42" s="29">
        <v>0</v>
      </c>
      <c r="O42" s="29">
        <v>0</v>
      </c>
      <c r="P42" s="29"/>
      <c r="Q42" s="29"/>
      <c r="R42" s="29">
        <v>0</v>
      </c>
      <c r="S42" s="29"/>
      <c r="T42" s="29"/>
      <c r="U42" s="26" t="s">
        <v>117</v>
      </c>
      <c r="V42" s="29">
        <v>0</v>
      </c>
      <c r="W42" s="29" t="s">
        <v>117</v>
      </c>
      <c r="X42" s="29" t="s">
        <v>117</v>
      </c>
      <c r="Y42" s="29" t="s">
        <v>117</v>
      </c>
      <c r="Z42" s="29" t="s">
        <v>117</v>
      </c>
      <c r="AA42" s="29" t="s">
        <v>117</v>
      </c>
      <c r="AB42" s="29"/>
      <c r="AC42" s="29"/>
      <c r="AD42" s="29"/>
      <c r="AE42" s="29"/>
      <c r="AF42" s="29"/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31"/>
      <c r="BV42" s="31"/>
      <c r="BW42" s="31"/>
      <c r="BX42" s="31"/>
      <c r="BY42" s="31"/>
      <c r="BZ42" s="26" t="s">
        <v>117</v>
      </c>
    </row>
    <row r="43" spans="1:79" s="13" customFormat="1" ht="47.25" hidden="1" x14ac:dyDescent="0.25">
      <c r="A43" s="27" t="s">
        <v>50</v>
      </c>
      <c r="B43" s="28" t="s">
        <v>51</v>
      </c>
      <c r="C43" s="26" t="s">
        <v>117</v>
      </c>
      <c r="D43" s="26" t="s">
        <v>117</v>
      </c>
      <c r="E43" s="26" t="s">
        <v>117</v>
      </c>
      <c r="F43" s="26" t="s">
        <v>117</v>
      </c>
      <c r="G43" s="26" t="s">
        <v>117</v>
      </c>
      <c r="H43" s="29">
        <v>0</v>
      </c>
      <c r="I43" s="29">
        <v>0</v>
      </c>
      <c r="J43" s="26" t="s">
        <v>117</v>
      </c>
      <c r="K43" s="26" t="s">
        <v>117</v>
      </c>
      <c r="L43" s="26" t="s">
        <v>117</v>
      </c>
      <c r="M43" s="29">
        <v>0</v>
      </c>
      <c r="N43" s="29">
        <v>0</v>
      </c>
      <c r="O43" s="29">
        <v>0</v>
      </c>
      <c r="P43" s="29"/>
      <c r="Q43" s="29"/>
      <c r="R43" s="29">
        <v>0</v>
      </c>
      <c r="S43" s="29"/>
      <c r="T43" s="29"/>
      <c r="U43" s="26" t="s">
        <v>117</v>
      </c>
      <c r="V43" s="26" t="s">
        <v>117</v>
      </c>
      <c r="W43" s="26" t="s">
        <v>117</v>
      </c>
      <c r="X43" s="26" t="s">
        <v>117</v>
      </c>
      <c r="Y43" s="26" t="s">
        <v>117</v>
      </c>
      <c r="Z43" s="26" t="s">
        <v>117</v>
      </c>
      <c r="AA43" s="26" t="s">
        <v>117</v>
      </c>
      <c r="AB43" s="26"/>
      <c r="AC43" s="26"/>
      <c r="AD43" s="26"/>
      <c r="AE43" s="26"/>
      <c r="AF43" s="26"/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31"/>
      <c r="BV43" s="31"/>
      <c r="BW43" s="31"/>
      <c r="BX43" s="31"/>
      <c r="BY43" s="31"/>
      <c r="BZ43" s="26" t="s">
        <v>117</v>
      </c>
    </row>
    <row r="44" spans="1:79" s="13" customFormat="1" ht="47.25" hidden="1" x14ac:dyDescent="0.25">
      <c r="A44" s="27" t="s">
        <v>52</v>
      </c>
      <c r="B44" s="28" t="s">
        <v>53</v>
      </c>
      <c r="C44" s="26" t="s">
        <v>117</v>
      </c>
      <c r="D44" s="26" t="s">
        <v>117</v>
      </c>
      <c r="E44" s="26" t="s">
        <v>117</v>
      </c>
      <c r="F44" s="26" t="s">
        <v>117</v>
      </c>
      <c r="G44" s="26" t="s">
        <v>117</v>
      </c>
      <c r="H44" s="29">
        <v>0</v>
      </c>
      <c r="I44" s="29">
        <v>0</v>
      </c>
      <c r="J44" s="26" t="s">
        <v>117</v>
      </c>
      <c r="K44" s="26" t="s">
        <v>117</v>
      </c>
      <c r="L44" s="26" t="s">
        <v>117</v>
      </c>
      <c r="M44" s="29">
        <v>0</v>
      </c>
      <c r="N44" s="29">
        <v>0</v>
      </c>
      <c r="O44" s="29">
        <v>0</v>
      </c>
      <c r="P44" s="29"/>
      <c r="Q44" s="29"/>
      <c r="R44" s="29">
        <v>0</v>
      </c>
      <c r="S44" s="29"/>
      <c r="T44" s="29"/>
      <c r="U44" s="26" t="s">
        <v>117</v>
      </c>
      <c r="V44" s="29">
        <v>0</v>
      </c>
      <c r="W44" s="29" t="s">
        <v>117</v>
      </c>
      <c r="X44" s="29" t="s">
        <v>117</v>
      </c>
      <c r="Y44" s="29" t="s">
        <v>117</v>
      </c>
      <c r="Z44" s="29" t="s">
        <v>117</v>
      </c>
      <c r="AA44" s="29" t="s">
        <v>117</v>
      </c>
      <c r="AB44" s="29"/>
      <c r="AC44" s="29"/>
      <c r="AD44" s="29"/>
      <c r="AE44" s="29"/>
      <c r="AF44" s="29"/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31"/>
      <c r="BV44" s="31"/>
      <c r="BW44" s="31"/>
      <c r="BX44" s="31"/>
      <c r="BY44" s="31"/>
      <c r="BZ44" s="26" t="s">
        <v>117</v>
      </c>
    </row>
    <row r="45" spans="1:79" s="13" customFormat="1" ht="31.5" hidden="1" x14ac:dyDescent="0.25">
      <c r="A45" s="27" t="s">
        <v>54</v>
      </c>
      <c r="B45" s="28" t="s">
        <v>55</v>
      </c>
      <c r="C45" s="26" t="s">
        <v>117</v>
      </c>
      <c r="D45" s="26" t="s">
        <v>117</v>
      </c>
      <c r="E45" s="26" t="s">
        <v>117</v>
      </c>
      <c r="F45" s="26" t="s">
        <v>117</v>
      </c>
      <c r="G45" s="26" t="s">
        <v>117</v>
      </c>
      <c r="H45" s="29">
        <v>0</v>
      </c>
      <c r="I45" s="29">
        <v>0</v>
      </c>
      <c r="J45" s="26" t="s">
        <v>117</v>
      </c>
      <c r="K45" s="26" t="s">
        <v>117</v>
      </c>
      <c r="L45" s="26" t="s">
        <v>117</v>
      </c>
      <c r="M45" s="29">
        <v>0</v>
      </c>
      <c r="N45" s="29">
        <v>0</v>
      </c>
      <c r="O45" s="29">
        <v>0</v>
      </c>
      <c r="P45" s="29"/>
      <c r="Q45" s="29"/>
      <c r="R45" s="29">
        <v>0</v>
      </c>
      <c r="S45" s="29"/>
      <c r="T45" s="29"/>
      <c r="U45" s="26" t="s">
        <v>117</v>
      </c>
      <c r="V45" s="29">
        <v>0</v>
      </c>
      <c r="W45" s="29" t="s">
        <v>117</v>
      </c>
      <c r="X45" s="29" t="s">
        <v>117</v>
      </c>
      <c r="Y45" s="29" t="s">
        <v>117</v>
      </c>
      <c r="Z45" s="29" t="s">
        <v>117</v>
      </c>
      <c r="AA45" s="29" t="s">
        <v>117</v>
      </c>
      <c r="AB45" s="29"/>
      <c r="AC45" s="29"/>
      <c r="AD45" s="29"/>
      <c r="AE45" s="29"/>
      <c r="AF45" s="29"/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31"/>
      <c r="BV45" s="31"/>
      <c r="BW45" s="31"/>
      <c r="BX45" s="31"/>
      <c r="BY45" s="31"/>
      <c r="BZ45" s="26" t="s">
        <v>117</v>
      </c>
    </row>
    <row r="46" spans="1:79" s="13" customFormat="1" ht="110.25" hidden="1" x14ac:dyDescent="0.25">
      <c r="A46" s="27" t="s">
        <v>54</v>
      </c>
      <c r="B46" s="28" t="s">
        <v>56</v>
      </c>
      <c r="C46" s="26" t="s">
        <v>117</v>
      </c>
      <c r="D46" s="26" t="s">
        <v>117</v>
      </c>
      <c r="E46" s="26" t="s">
        <v>117</v>
      </c>
      <c r="F46" s="26" t="s">
        <v>117</v>
      </c>
      <c r="G46" s="26" t="s">
        <v>117</v>
      </c>
      <c r="H46" s="29">
        <v>0</v>
      </c>
      <c r="I46" s="29">
        <v>0</v>
      </c>
      <c r="J46" s="26" t="s">
        <v>117</v>
      </c>
      <c r="K46" s="26" t="s">
        <v>117</v>
      </c>
      <c r="L46" s="26" t="s">
        <v>117</v>
      </c>
      <c r="M46" s="29">
        <v>0</v>
      </c>
      <c r="N46" s="29">
        <v>0</v>
      </c>
      <c r="O46" s="29">
        <v>0</v>
      </c>
      <c r="P46" s="29"/>
      <c r="Q46" s="29"/>
      <c r="R46" s="29">
        <v>0</v>
      </c>
      <c r="S46" s="29"/>
      <c r="T46" s="29"/>
      <c r="U46" s="26" t="s">
        <v>117</v>
      </c>
      <c r="V46" s="29">
        <v>0</v>
      </c>
      <c r="W46" s="29" t="s">
        <v>117</v>
      </c>
      <c r="X46" s="29" t="s">
        <v>117</v>
      </c>
      <c r="Y46" s="29" t="s">
        <v>117</v>
      </c>
      <c r="Z46" s="29" t="s">
        <v>117</v>
      </c>
      <c r="AA46" s="29" t="s">
        <v>117</v>
      </c>
      <c r="AB46" s="29"/>
      <c r="AC46" s="29"/>
      <c r="AD46" s="29"/>
      <c r="AE46" s="29"/>
      <c r="AF46" s="29"/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31"/>
      <c r="BV46" s="31"/>
      <c r="BW46" s="31"/>
      <c r="BX46" s="31"/>
      <c r="BY46" s="31"/>
      <c r="BZ46" s="26" t="s">
        <v>117</v>
      </c>
    </row>
    <row r="47" spans="1:79" s="13" customFormat="1" ht="94.5" hidden="1" x14ac:dyDescent="0.25">
      <c r="A47" s="27" t="s">
        <v>54</v>
      </c>
      <c r="B47" s="28" t="s">
        <v>57</v>
      </c>
      <c r="C47" s="26" t="s">
        <v>117</v>
      </c>
      <c r="D47" s="26" t="s">
        <v>117</v>
      </c>
      <c r="E47" s="26" t="s">
        <v>117</v>
      </c>
      <c r="F47" s="26" t="s">
        <v>117</v>
      </c>
      <c r="G47" s="26" t="s">
        <v>117</v>
      </c>
      <c r="H47" s="29">
        <v>0</v>
      </c>
      <c r="I47" s="29">
        <v>0</v>
      </c>
      <c r="J47" s="26" t="s">
        <v>117</v>
      </c>
      <c r="K47" s="26" t="s">
        <v>117</v>
      </c>
      <c r="L47" s="26" t="s">
        <v>117</v>
      </c>
      <c r="M47" s="29">
        <v>0</v>
      </c>
      <c r="N47" s="29">
        <v>0</v>
      </c>
      <c r="O47" s="29">
        <v>0</v>
      </c>
      <c r="P47" s="29"/>
      <c r="Q47" s="29"/>
      <c r="R47" s="29">
        <v>0</v>
      </c>
      <c r="S47" s="29"/>
      <c r="T47" s="29"/>
      <c r="U47" s="26" t="s">
        <v>117</v>
      </c>
      <c r="V47" s="29">
        <v>0</v>
      </c>
      <c r="W47" s="29" t="s">
        <v>117</v>
      </c>
      <c r="X47" s="29" t="s">
        <v>117</v>
      </c>
      <c r="Y47" s="29" t="s">
        <v>117</v>
      </c>
      <c r="Z47" s="29" t="s">
        <v>117</v>
      </c>
      <c r="AA47" s="29" t="s">
        <v>117</v>
      </c>
      <c r="AB47" s="29"/>
      <c r="AC47" s="29"/>
      <c r="AD47" s="29"/>
      <c r="AE47" s="29"/>
      <c r="AF47" s="29"/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31"/>
      <c r="BV47" s="31"/>
      <c r="BW47" s="31"/>
      <c r="BX47" s="31"/>
      <c r="BY47" s="31"/>
      <c r="BZ47" s="26" t="s">
        <v>117</v>
      </c>
    </row>
    <row r="48" spans="1:79" s="13" customFormat="1" ht="94.5" hidden="1" x14ac:dyDescent="0.25">
      <c r="A48" s="27" t="s">
        <v>54</v>
      </c>
      <c r="B48" s="28" t="s">
        <v>58</v>
      </c>
      <c r="C48" s="26" t="s">
        <v>117</v>
      </c>
      <c r="D48" s="26" t="s">
        <v>117</v>
      </c>
      <c r="E48" s="26" t="s">
        <v>117</v>
      </c>
      <c r="F48" s="26" t="s">
        <v>117</v>
      </c>
      <c r="G48" s="26" t="s">
        <v>117</v>
      </c>
      <c r="H48" s="29">
        <v>0</v>
      </c>
      <c r="I48" s="29">
        <v>0</v>
      </c>
      <c r="J48" s="26" t="s">
        <v>117</v>
      </c>
      <c r="K48" s="26" t="s">
        <v>117</v>
      </c>
      <c r="L48" s="26" t="s">
        <v>117</v>
      </c>
      <c r="M48" s="29">
        <v>0</v>
      </c>
      <c r="N48" s="29">
        <v>0</v>
      </c>
      <c r="O48" s="29">
        <v>0</v>
      </c>
      <c r="P48" s="29"/>
      <c r="Q48" s="29"/>
      <c r="R48" s="29">
        <v>0</v>
      </c>
      <c r="S48" s="29"/>
      <c r="T48" s="29"/>
      <c r="U48" s="26" t="s">
        <v>117</v>
      </c>
      <c r="V48" s="29">
        <v>0</v>
      </c>
      <c r="W48" s="29" t="s">
        <v>117</v>
      </c>
      <c r="X48" s="29" t="s">
        <v>117</v>
      </c>
      <c r="Y48" s="29" t="s">
        <v>117</v>
      </c>
      <c r="Z48" s="29" t="s">
        <v>117</v>
      </c>
      <c r="AA48" s="29" t="s">
        <v>117</v>
      </c>
      <c r="AB48" s="29"/>
      <c r="AC48" s="29"/>
      <c r="AD48" s="29"/>
      <c r="AE48" s="29"/>
      <c r="AF48" s="29"/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31"/>
      <c r="BV48" s="31"/>
      <c r="BW48" s="31"/>
      <c r="BX48" s="31"/>
      <c r="BY48" s="31"/>
      <c r="BZ48" s="26" t="s">
        <v>117</v>
      </c>
    </row>
    <row r="49" spans="1:78" s="13" customFormat="1" ht="31.5" hidden="1" x14ac:dyDescent="0.25">
      <c r="A49" s="27" t="s">
        <v>59</v>
      </c>
      <c r="B49" s="28" t="s">
        <v>55</v>
      </c>
      <c r="C49" s="26" t="s">
        <v>117</v>
      </c>
      <c r="D49" s="26" t="s">
        <v>117</v>
      </c>
      <c r="E49" s="26" t="s">
        <v>117</v>
      </c>
      <c r="F49" s="26" t="s">
        <v>117</v>
      </c>
      <c r="G49" s="26" t="s">
        <v>117</v>
      </c>
      <c r="H49" s="29">
        <v>0</v>
      </c>
      <c r="I49" s="29">
        <v>0</v>
      </c>
      <c r="J49" s="26" t="s">
        <v>117</v>
      </c>
      <c r="K49" s="26" t="s">
        <v>117</v>
      </c>
      <c r="L49" s="26" t="s">
        <v>117</v>
      </c>
      <c r="M49" s="29">
        <v>0</v>
      </c>
      <c r="N49" s="29">
        <v>0</v>
      </c>
      <c r="O49" s="29">
        <v>0</v>
      </c>
      <c r="P49" s="29"/>
      <c r="Q49" s="29"/>
      <c r="R49" s="29">
        <v>0</v>
      </c>
      <c r="S49" s="29"/>
      <c r="T49" s="29"/>
      <c r="U49" s="26" t="s">
        <v>117</v>
      </c>
      <c r="V49" s="29">
        <v>0</v>
      </c>
      <c r="W49" s="29" t="s">
        <v>117</v>
      </c>
      <c r="X49" s="29" t="s">
        <v>117</v>
      </c>
      <c r="Y49" s="29" t="s">
        <v>117</v>
      </c>
      <c r="Z49" s="29" t="s">
        <v>117</v>
      </c>
      <c r="AA49" s="29" t="s">
        <v>117</v>
      </c>
      <c r="AB49" s="29"/>
      <c r="AC49" s="29"/>
      <c r="AD49" s="29"/>
      <c r="AE49" s="29"/>
      <c r="AF49" s="29"/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31"/>
      <c r="BV49" s="31"/>
      <c r="BW49" s="31"/>
      <c r="BX49" s="31"/>
      <c r="BY49" s="31"/>
      <c r="BZ49" s="26" t="s">
        <v>117</v>
      </c>
    </row>
    <row r="50" spans="1:78" s="13" customFormat="1" ht="110.25" hidden="1" x14ac:dyDescent="0.25">
      <c r="A50" s="27" t="s">
        <v>59</v>
      </c>
      <c r="B50" s="28" t="s">
        <v>56</v>
      </c>
      <c r="C50" s="26" t="s">
        <v>117</v>
      </c>
      <c r="D50" s="26" t="s">
        <v>117</v>
      </c>
      <c r="E50" s="26" t="s">
        <v>117</v>
      </c>
      <c r="F50" s="26" t="s">
        <v>117</v>
      </c>
      <c r="G50" s="26" t="s">
        <v>117</v>
      </c>
      <c r="H50" s="29">
        <v>0</v>
      </c>
      <c r="I50" s="29">
        <v>0</v>
      </c>
      <c r="J50" s="26" t="s">
        <v>117</v>
      </c>
      <c r="K50" s="26" t="s">
        <v>117</v>
      </c>
      <c r="L50" s="26" t="s">
        <v>117</v>
      </c>
      <c r="M50" s="29">
        <v>0</v>
      </c>
      <c r="N50" s="29">
        <v>0</v>
      </c>
      <c r="O50" s="29">
        <v>0</v>
      </c>
      <c r="P50" s="29"/>
      <c r="Q50" s="29"/>
      <c r="R50" s="29">
        <v>0</v>
      </c>
      <c r="S50" s="29"/>
      <c r="T50" s="29"/>
      <c r="U50" s="26" t="s">
        <v>117</v>
      </c>
      <c r="V50" s="29">
        <v>0</v>
      </c>
      <c r="W50" s="29" t="s">
        <v>117</v>
      </c>
      <c r="X50" s="29" t="s">
        <v>117</v>
      </c>
      <c r="Y50" s="29" t="s">
        <v>117</v>
      </c>
      <c r="Z50" s="29" t="s">
        <v>117</v>
      </c>
      <c r="AA50" s="29" t="s">
        <v>117</v>
      </c>
      <c r="AB50" s="29"/>
      <c r="AC50" s="29"/>
      <c r="AD50" s="29"/>
      <c r="AE50" s="29"/>
      <c r="AF50" s="29"/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31"/>
      <c r="BV50" s="31"/>
      <c r="BW50" s="31"/>
      <c r="BX50" s="31"/>
      <c r="BY50" s="31"/>
      <c r="BZ50" s="26" t="s">
        <v>117</v>
      </c>
    </row>
    <row r="51" spans="1:78" s="13" customFormat="1" ht="94.5" hidden="1" x14ac:dyDescent="0.25">
      <c r="A51" s="27" t="s">
        <v>59</v>
      </c>
      <c r="B51" s="28" t="s">
        <v>57</v>
      </c>
      <c r="C51" s="26" t="s">
        <v>117</v>
      </c>
      <c r="D51" s="26" t="s">
        <v>117</v>
      </c>
      <c r="E51" s="26" t="s">
        <v>117</v>
      </c>
      <c r="F51" s="26" t="s">
        <v>117</v>
      </c>
      <c r="G51" s="26" t="s">
        <v>117</v>
      </c>
      <c r="H51" s="29">
        <v>0</v>
      </c>
      <c r="I51" s="29">
        <v>0</v>
      </c>
      <c r="J51" s="26" t="s">
        <v>117</v>
      </c>
      <c r="K51" s="26" t="s">
        <v>117</v>
      </c>
      <c r="L51" s="26" t="s">
        <v>117</v>
      </c>
      <c r="M51" s="29">
        <v>0</v>
      </c>
      <c r="N51" s="29">
        <v>0</v>
      </c>
      <c r="O51" s="29">
        <v>0</v>
      </c>
      <c r="P51" s="29"/>
      <c r="Q51" s="29"/>
      <c r="R51" s="29">
        <v>0</v>
      </c>
      <c r="S51" s="29"/>
      <c r="T51" s="29"/>
      <c r="U51" s="26" t="s">
        <v>117</v>
      </c>
      <c r="V51" s="29">
        <v>0</v>
      </c>
      <c r="W51" s="29" t="s">
        <v>117</v>
      </c>
      <c r="X51" s="29" t="s">
        <v>117</v>
      </c>
      <c r="Y51" s="29" t="s">
        <v>117</v>
      </c>
      <c r="Z51" s="29" t="s">
        <v>117</v>
      </c>
      <c r="AA51" s="29" t="s">
        <v>117</v>
      </c>
      <c r="AB51" s="29"/>
      <c r="AC51" s="29"/>
      <c r="AD51" s="29"/>
      <c r="AE51" s="29"/>
      <c r="AF51" s="29"/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31"/>
      <c r="BV51" s="31"/>
      <c r="BW51" s="31"/>
      <c r="BX51" s="31"/>
      <c r="BY51" s="31"/>
      <c r="BZ51" s="26" t="s">
        <v>117</v>
      </c>
    </row>
    <row r="52" spans="1:78" s="13" customFormat="1" ht="94.5" hidden="1" x14ac:dyDescent="0.25">
      <c r="A52" s="27" t="s">
        <v>59</v>
      </c>
      <c r="B52" s="28" t="s">
        <v>60</v>
      </c>
      <c r="C52" s="26" t="s">
        <v>117</v>
      </c>
      <c r="D52" s="26" t="s">
        <v>117</v>
      </c>
      <c r="E52" s="26" t="s">
        <v>117</v>
      </c>
      <c r="F52" s="26" t="s">
        <v>117</v>
      </c>
      <c r="G52" s="26" t="s">
        <v>117</v>
      </c>
      <c r="H52" s="29">
        <v>0</v>
      </c>
      <c r="I52" s="29">
        <v>0</v>
      </c>
      <c r="J52" s="26" t="s">
        <v>117</v>
      </c>
      <c r="K52" s="26" t="s">
        <v>117</v>
      </c>
      <c r="L52" s="26" t="s">
        <v>117</v>
      </c>
      <c r="M52" s="29">
        <v>0</v>
      </c>
      <c r="N52" s="29">
        <v>0</v>
      </c>
      <c r="O52" s="29">
        <v>0</v>
      </c>
      <c r="P52" s="29"/>
      <c r="Q52" s="29"/>
      <c r="R52" s="29">
        <v>0</v>
      </c>
      <c r="S52" s="29"/>
      <c r="T52" s="29"/>
      <c r="U52" s="26" t="s">
        <v>117</v>
      </c>
      <c r="V52" s="29">
        <v>0</v>
      </c>
      <c r="W52" s="29" t="s">
        <v>117</v>
      </c>
      <c r="X52" s="29" t="s">
        <v>117</v>
      </c>
      <c r="Y52" s="29" t="s">
        <v>117</v>
      </c>
      <c r="Z52" s="29" t="s">
        <v>117</v>
      </c>
      <c r="AA52" s="29" t="s">
        <v>117</v>
      </c>
      <c r="AB52" s="29"/>
      <c r="AC52" s="29"/>
      <c r="AD52" s="29"/>
      <c r="AE52" s="29"/>
      <c r="AF52" s="29"/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31"/>
      <c r="BV52" s="31"/>
      <c r="BW52" s="31"/>
      <c r="BX52" s="31"/>
      <c r="BY52" s="31"/>
      <c r="BZ52" s="26" t="s">
        <v>117</v>
      </c>
    </row>
    <row r="53" spans="1:78" s="13" customFormat="1" ht="94.5" hidden="1" x14ac:dyDescent="0.25">
      <c r="A53" s="27" t="s">
        <v>61</v>
      </c>
      <c r="B53" s="28" t="s">
        <v>62</v>
      </c>
      <c r="C53" s="26" t="s">
        <v>126</v>
      </c>
      <c r="D53" s="26" t="s">
        <v>117</v>
      </c>
      <c r="E53" s="26" t="s">
        <v>117</v>
      </c>
      <c r="F53" s="26" t="s">
        <v>117</v>
      </c>
      <c r="G53" s="26" t="s">
        <v>117</v>
      </c>
      <c r="H53" s="29">
        <v>0</v>
      </c>
      <c r="I53" s="29" t="str">
        <f>I54</f>
        <v>нд</v>
      </c>
      <c r="J53" s="26" t="s">
        <v>117</v>
      </c>
      <c r="K53" s="29" t="str">
        <f t="shared" ref="K53:N53" si="34">K54</f>
        <v>нд</v>
      </c>
      <c r="L53" s="29" t="str">
        <f>L54</f>
        <v>нд</v>
      </c>
      <c r="M53" s="29" t="str">
        <f t="shared" si="34"/>
        <v>нд</v>
      </c>
      <c r="N53" s="29" t="str">
        <f t="shared" si="34"/>
        <v>нд</v>
      </c>
      <c r="O53" s="29" t="str">
        <f>O54</f>
        <v>нд</v>
      </c>
      <c r="P53" s="29"/>
      <c r="Q53" s="29" t="str">
        <f>Q54</f>
        <v>нд</v>
      </c>
      <c r="R53" s="29" t="str">
        <f t="shared" ref="R53:BY53" si="35">R54</f>
        <v>нд</v>
      </c>
      <c r="S53" s="29" t="str">
        <f t="shared" si="35"/>
        <v>нд</v>
      </c>
      <c r="T53" s="29" t="str">
        <f t="shared" si="35"/>
        <v>нд</v>
      </c>
      <c r="U53" s="29" t="str">
        <f t="shared" si="35"/>
        <v>нд</v>
      </c>
      <c r="V53" s="29" t="str">
        <f t="shared" si="35"/>
        <v>нд</v>
      </c>
      <c r="W53" s="29" t="s">
        <v>117</v>
      </c>
      <c r="X53" s="29" t="s">
        <v>117</v>
      </c>
      <c r="Y53" s="29" t="s">
        <v>117</v>
      </c>
      <c r="Z53" s="29" t="s">
        <v>117</v>
      </c>
      <c r="AA53" s="29" t="s">
        <v>117</v>
      </c>
      <c r="AB53" s="29"/>
      <c r="AC53" s="29"/>
      <c r="AD53" s="29"/>
      <c r="AE53" s="29"/>
      <c r="AF53" s="29"/>
      <c r="AG53" s="29" t="str">
        <f t="shared" si="35"/>
        <v>нд</v>
      </c>
      <c r="AH53" s="29" t="str">
        <f t="shared" si="35"/>
        <v>нд</v>
      </c>
      <c r="AI53" s="29" t="str">
        <f t="shared" si="35"/>
        <v>нд</v>
      </c>
      <c r="AJ53" s="29" t="str">
        <f t="shared" si="35"/>
        <v>нд</v>
      </c>
      <c r="AK53" s="29" t="str">
        <f t="shared" si="35"/>
        <v>нд</v>
      </c>
      <c r="AL53" s="29" t="str">
        <f t="shared" si="35"/>
        <v>нд</v>
      </c>
      <c r="AM53" s="29" t="str">
        <f t="shared" si="35"/>
        <v>нд</v>
      </c>
      <c r="AN53" s="29" t="str">
        <f t="shared" si="35"/>
        <v>нд</v>
      </c>
      <c r="AO53" s="29" t="str">
        <f t="shared" si="35"/>
        <v>нд</v>
      </c>
      <c r="AP53" s="29" t="str">
        <f t="shared" si="35"/>
        <v>нд</v>
      </c>
      <c r="AQ53" s="29" t="str">
        <f t="shared" si="35"/>
        <v>нд</v>
      </c>
      <c r="AR53" s="29" t="str">
        <f t="shared" si="35"/>
        <v>нд</v>
      </c>
      <c r="AS53" s="29" t="str">
        <f t="shared" si="35"/>
        <v>нд</v>
      </c>
      <c r="AT53" s="29" t="str">
        <f t="shared" si="35"/>
        <v>нд</v>
      </c>
      <c r="AU53" s="29" t="str">
        <f t="shared" si="35"/>
        <v>нд</v>
      </c>
      <c r="AV53" s="29" t="str">
        <f t="shared" si="35"/>
        <v>нд</v>
      </c>
      <c r="AW53" s="29" t="str">
        <f t="shared" si="35"/>
        <v>нд</v>
      </c>
      <c r="AX53" s="29" t="str">
        <f t="shared" si="35"/>
        <v>нд</v>
      </c>
      <c r="AY53" s="29" t="str">
        <f t="shared" si="35"/>
        <v>нд</v>
      </c>
      <c r="AZ53" s="29" t="str">
        <f t="shared" si="35"/>
        <v>нд</v>
      </c>
      <c r="BA53" s="29" t="str">
        <f t="shared" si="35"/>
        <v>нд</v>
      </c>
      <c r="BB53" s="29" t="str">
        <f t="shared" si="35"/>
        <v>нд</v>
      </c>
      <c r="BC53" s="29" t="str">
        <f t="shared" si="35"/>
        <v>нд</v>
      </c>
      <c r="BD53" s="29" t="str">
        <f t="shared" si="35"/>
        <v>нд</v>
      </c>
      <c r="BE53" s="29" t="str">
        <f t="shared" si="35"/>
        <v>нд</v>
      </c>
      <c r="BF53" s="29" t="str">
        <f t="shared" si="35"/>
        <v>нд</v>
      </c>
      <c r="BG53" s="29" t="str">
        <f t="shared" si="35"/>
        <v>нд</v>
      </c>
      <c r="BH53" s="29" t="str">
        <f t="shared" si="35"/>
        <v>нд</v>
      </c>
      <c r="BI53" s="29" t="str">
        <f t="shared" si="35"/>
        <v>нд</v>
      </c>
      <c r="BJ53" s="29" t="str">
        <f t="shared" si="35"/>
        <v>нд</v>
      </c>
      <c r="BK53" s="29" t="str">
        <f t="shared" si="35"/>
        <v>нд</v>
      </c>
      <c r="BL53" s="29" t="str">
        <f t="shared" si="35"/>
        <v>нд</v>
      </c>
      <c r="BM53" s="29" t="str">
        <f t="shared" si="35"/>
        <v>нд</v>
      </c>
      <c r="BN53" s="29" t="str">
        <f t="shared" si="35"/>
        <v>нд</v>
      </c>
      <c r="BO53" s="29" t="str">
        <f t="shared" si="35"/>
        <v>нд</v>
      </c>
      <c r="BP53" s="29" t="str">
        <f t="shared" si="35"/>
        <v>нд</v>
      </c>
      <c r="BQ53" s="29" t="str">
        <f t="shared" si="35"/>
        <v>нд</v>
      </c>
      <c r="BR53" s="29" t="str">
        <f t="shared" si="35"/>
        <v>нд</v>
      </c>
      <c r="BS53" s="29" t="str">
        <f t="shared" si="35"/>
        <v>нд</v>
      </c>
      <c r="BT53" s="29" t="str">
        <f t="shared" si="35"/>
        <v>нд</v>
      </c>
      <c r="BU53" s="29" t="str">
        <f t="shared" si="35"/>
        <v>нд</v>
      </c>
      <c r="BV53" s="29" t="str">
        <f t="shared" si="35"/>
        <v>нд</v>
      </c>
      <c r="BW53" s="29" t="str">
        <f t="shared" si="35"/>
        <v>нд</v>
      </c>
      <c r="BX53" s="29" t="str">
        <f>BX54</f>
        <v>нд</v>
      </c>
      <c r="BY53" s="29" t="str">
        <f t="shared" si="35"/>
        <v>нд</v>
      </c>
      <c r="BZ53" s="26" t="s">
        <v>117</v>
      </c>
    </row>
    <row r="54" spans="1:78" s="13" customFormat="1" ht="78.75" hidden="1" x14ac:dyDescent="0.25">
      <c r="A54" s="27" t="s">
        <v>63</v>
      </c>
      <c r="B54" s="28" t="s">
        <v>64</v>
      </c>
      <c r="C54" s="26" t="s">
        <v>126</v>
      </c>
      <c r="D54" s="26" t="s">
        <v>117</v>
      </c>
      <c r="E54" s="26" t="s">
        <v>117</v>
      </c>
      <c r="F54" s="26" t="s">
        <v>117</v>
      </c>
      <c r="G54" s="26" t="s">
        <v>117</v>
      </c>
      <c r="H54" s="29" t="s">
        <v>117</v>
      </c>
      <c r="I54" s="29" t="s">
        <v>117</v>
      </c>
      <c r="J54" s="26" t="s">
        <v>117</v>
      </c>
      <c r="K54" s="29" t="s">
        <v>117</v>
      </c>
      <c r="L54" s="29" t="s">
        <v>117</v>
      </c>
      <c r="M54" s="29" t="s">
        <v>117</v>
      </c>
      <c r="N54" s="29" t="s">
        <v>117</v>
      </c>
      <c r="O54" s="29" t="s">
        <v>117</v>
      </c>
      <c r="P54" s="29"/>
      <c r="Q54" s="29" t="s">
        <v>117</v>
      </c>
      <c r="R54" s="29" t="s">
        <v>117</v>
      </c>
      <c r="S54" s="29" t="s">
        <v>117</v>
      </c>
      <c r="T54" s="29" t="s">
        <v>117</v>
      </c>
      <c r="U54" s="29" t="s">
        <v>117</v>
      </c>
      <c r="V54" s="29" t="s">
        <v>117</v>
      </c>
      <c r="W54" s="29" t="s">
        <v>117</v>
      </c>
      <c r="X54" s="29" t="s">
        <v>117</v>
      </c>
      <c r="Y54" s="29" t="s">
        <v>117</v>
      </c>
      <c r="Z54" s="29" t="s">
        <v>117</v>
      </c>
      <c r="AA54" s="29" t="s">
        <v>117</v>
      </c>
      <c r="AB54" s="29"/>
      <c r="AC54" s="29"/>
      <c r="AD54" s="29"/>
      <c r="AE54" s="29"/>
      <c r="AF54" s="29"/>
      <c r="AG54" s="29" t="s">
        <v>117</v>
      </c>
      <c r="AH54" s="29" t="s">
        <v>117</v>
      </c>
      <c r="AI54" s="29" t="s">
        <v>117</v>
      </c>
      <c r="AJ54" s="29" t="s">
        <v>117</v>
      </c>
      <c r="AK54" s="29" t="s">
        <v>117</v>
      </c>
      <c r="AL54" s="29" t="s">
        <v>117</v>
      </c>
      <c r="AM54" s="29" t="s">
        <v>117</v>
      </c>
      <c r="AN54" s="29" t="s">
        <v>117</v>
      </c>
      <c r="AO54" s="29" t="s">
        <v>117</v>
      </c>
      <c r="AP54" s="29" t="s">
        <v>117</v>
      </c>
      <c r="AQ54" s="29" t="s">
        <v>117</v>
      </c>
      <c r="AR54" s="29" t="s">
        <v>117</v>
      </c>
      <c r="AS54" s="29" t="s">
        <v>117</v>
      </c>
      <c r="AT54" s="29" t="s">
        <v>117</v>
      </c>
      <c r="AU54" s="29" t="s">
        <v>117</v>
      </c>
      <c r="AV54" s="29" t="s">
        <v>117</v>
      </c>
      <c r="AW54" s="29" t="s">
        <v>117</v>
      </c>
      <c r="AX54" s="29" t="s">
        <v>117</v>
      </c>
      <c r="AY54" s="29" t="s">
        <v>117</v>
      </c>
      <c r="AZ54" s="29" t="s">
        <v>117</v>
      </c>
      <c r="BA54" s="29" t="s">
        <v>117</v>
      </c>
      <c r="BB54" s="29" t="s">
        <v>117</v>
      </c>
      <c r="BC54" s="29" t="s">
        <v>117</v>
      </c>
      <c r="BD54" s="29" t="s">
        <v>117</v>
      </c>
      <c r="BE54" s="29" t="s">
        <v>117</v>
      </c>
      <c r="BF54" s="29" t="s">
        <v>117</v>
      </c>
      <c r="BG54" s="29" t="s">
        <v>117</v>
      </c>
      <c r="BH54" s="29" t="s">
        <v>117</v>
      </c>
      <c r="BI54" s="29" t="s">
        <v>117</v>
      </c>
      <c r="BJ54" s="29" t="s">
        <v>117</v>
      </c>
      <c r="BK54" s="29" t="s">
        <v>117</v>
      </c>
      <c r="BL54" s="29" t="s">
        <v>117</v>
      </c>
      <c r="BM54" s="29" t="s">
        <v>117</v>
      </c>
      <c r="BN54" s="29" t="s">
        <v>117</v>
      </c>
      <c r="BO54" s="29" t="s">
        <v>117</v>
      </c>
      <c r="BP54" s="29" t="s">
        <v>117</v>
      </c>
      <c r="BQ54" s="29" t="s">
        <v>117</v>
      </c>
      <c r="BR54" s="29" t="s">
        <v>117</v>
      </c>
      <c r="BS54" s="29" t="s">
        <v>117</v>
      </c>
      <c r="BT54" s="29" t="s">
        <v>117</v>
      </c>
      <c r="BU54" s="29" t="s">
        <v>117</v>
      </c>
      <c r="BV54" s="29" t="s">
        <v>117</v>
      </c>
      <c r="BW54" s="29" t="s">
        <v>117</v>
      </c>
      <c r="BX54" s="29" t="s">
        <v>117</v>
      </c>
      <c r="BY54" s="31" t="s">
        <v>117</v>
      </c>
      <c r="BZ54" s="26" t="s">
        <v>117</v>
      </c>
    </row>
    <row r="55" spans="1:78" s="13" customFormat="1" ht="78.75" hidden="1" x14ac:dyDescent="0.25">
      <c r="A55" s="27" t="s">
        <v>65</v>
      </c>
      <c r="B55" s="28" t="s">
        <v>66</v>
      </c>
      <c r="C55" s="26" t="s">
        <v>117</v>
      </c>
      <c r="D55" s="26" t="s">
        <v>117</v>
      </c>
      <c r="E55" s="26" t="s">
        <v>117</v>
      </c>
      <c r="F55" s="26" t="s">
        <v>117</v>
      </c>
      <c r="G55" s="26" t="s">
        <v>117</v>
      </c>
      <c r="H55" s="29">
        <v>0</v>
      </c>
      <c r="I55" s="29">
        <v>0</v>
      </c>
      <c r="J55" s="26" t="s">
        <v>117</v>
      </c>
      <c r="K55" s="29" t="s">
        <v>117</v>
      </c>
      <c r="L55" s="29">
        <v>0</v>
      </c>
      <c r="M55" s="29">
        <v>0</v>
      </c>
      <c r="N55" s="29">
        <v>0</v>
      </c>
      <c r="O55" s="29">
        <v>0</v>
      </c>
      <c r="P55" s="29"/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/>
      <c r="AC55" s="29"/>
      <c r="AD55" s="29"/>
      <c r="AE55" s="29"/>
      <c r="AF55" s="29"/>
      <c r="AG55" s="29">
        <v>0</v>
      </c>
      <c r="AH55" s="29">
        <v>0</v>
      </c>
      <c r="AI55" s="31">
        <v>0</v>
      </c>
      <c r="AJ55" s="31" t="s">
        <v>117</v>
      </c>
      <c r="AK55" s="31">
        <v>0</v>
      </c>
      <c r="AL55" s="31" t="s">
        <v>117</v>
      </c>
      <c r="AM55" s="31">
        <v>0</v>
      </c>
      <c r="AN55" s="31">
        <v>0</v>
      </c>
      <c r="AO55" s="31" t="s">
        <v>117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0</v>
      </c>
      <c r="BN55" s="31">
        <v>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0</v>
      </c>
      <c r="BX55" s="31">
        <v>0</v>
      </c>
      <c r="BY55" s="31">
        <v>0</v>
      </c>
      <c r="BZ55" s="26" t="s">
        <v>117</v>
      </c>
    </row>
    <row r="56" spans="1:78" s="13" customFormat="1" ht="47.25" x14ac:dyDescent="0.25">
      <c r="A56" s="27" t="s">
        <v>67</v>
      </c>
      <c r="B56" s="28" t="s">
        <v>68</v>
      </c>
      <c r="C56" s="26" t="s">
        <v>126</v>
      </c>
      <c r="D56" s="26" t="s">
        <v>117</v>
      </c>
      <c r="E56" s="26" t="s">
        <v>117</v>
      </c>
      <c r="F56" s="26" t="s">
        <v>117</v>
      </c>
      <c r="G56" s="26" t="s">
        <v>117</v>
      </c>
      <c r="H56" s="29">
        <f>H57+H83</f>
        <v>98.474925420339986</v>
      </c>
      <c r="I56" s="29">
        <f>I57+I83</f>
        <v>736.3311743337199</v>
      </c>
      <c r="J56" s="29" t="s">
        <v>117</v>
      </c>
      <c r="K56" s="29" t="s">
        <v>117</v>
      </c>
      <c r="L56" s="29">
        <f t="shared" ref="L56:Z56" si="36">L57+L83</f>
        <v>2.0511050879999999</v>
      </c>
      <c r="M56" s="29">
        <f t="shared" si="36"/>
        <v>2735.1711709545598</v>
      </c>
      <c r="N56" s="29">
        <f t="shared" si="36"/>
        <v>3006.3013263672124</v>
      </c>
      <c r="O56" s="29">
        <f t="shared" si="36"/>
        <v>874.52020595688009</v>
      </c>
      <c r="P56" s="29">
        <f t="shared" si="36"/>
        <v>872.46910086888022</v>
      </c>
      <c r="Q56" s="29">
        <f t="shared" si="36"/>
        <v>868.99856166888014</v>
      </c>
      <c r="R56" s="29">
        <f t="shared" si="36"/>
        <v>748.93282843295992</v>
      </c>
      <c r="S56" s="29">
        <f t="shared" si="36"/>
        <v>605.13707395686004</v>
      </c>
      <c r="T56" s="29">
        <f t="shared" si="36"/>
        <v>454.67595156749996</v>
      </c>
      <c r="U56" s="29">
        <f t="shared" si="36"/>
        <v>327.95928181499994</v>
      </c>
      <c r="V56" s="29">
        <f t="shared" si="36"/>
        <v>178.20330902531998</v>
      </c>
      <c r="W56" s="29">
        <f t="shared" si="36"/>
        <v>3.4705392000000002</v>
      </c>
      <c r="X56" s="29">
        <f t="shared" si="36"/>
        <v>0</v>
      </c>
      <c r="Y56" s="29">
        <f t="shared" si="36"/>
        <v>0</v>
      </c>
      <c r="Z56" s="29">
        <f t="shared" si="36"/>
        <v>3.4705392000000002</v>
      </c>
      <c r="AA56" s="29">
        <f>AA57+AA83</f>
        <v>0</v>
      </c>
      <c r="AB56" s="29">
        <f t="shared" ref="AB56:AF56" si="37">AB57+AB83</f>
        <v>120.06573323591998</v>
      </c>
      <c r="AC56" s="29">
        <f t="shared" si="37"/>
        <v>0</v>
      </c>
      <c r="AD56" s="29">
        <f t="shared" si="37"/>
        <v>0</v>
      </c>
      <c r="AE56" s="29">
        <f t="shared" si="37"/>
        <v>120.06573323591998</v>
      </c>
      <c r="AF56" s="29">
        <f t="shared" si="37"/>
        <v>0</v>
      </c>
      <c r="AG56" s="29">
        <f t="shared" ref="AG56:BY56" si="38">AG57+AG83</f>
        <v>143.7957544761</v>
      </c>
      <c r="AH56" s="29">
        <f t="shared" si="38"/>
        <v>0</v>
      </c>
      <c r="AI56" s="29">
        <f t="shared" si="38"/>
        <v>0</v>
      </c>
      <c r="AJ56" s="29">
        <f t="shared" si="38"/>
        <v>143.7957544761</v>
      </c>
      <c r="AK56" s="29">
        <f t="shared" si="38"/>
        <v>0</v>
      </c>
      <c r="AL56" s="29" t="e">
        <f t="shared" si="38"/>
        <v>#REF!</v>
      </c>
      <c r="AM56" s="29" t="e">
        <f t="shared" si="38"/>
        <v>#REF!</v>
      </c>
      <c r="AN56" s="29" t="e">
        <f t="shared" si="38"/>
        <v>#REF!</v>
      </c>
      <c r="AO56" s="29" t="e">
        <f t="shared" si="38"/>
        <v>#REF!</v>
      </c>
      <c r="AP56" s="29" t="e">
        <f t="shared" si="38"/>
        <v>#REF!</v>
      </c>
      <c r="AQ56" s="29">
        <f t="shared" si="38"/>
        <v>150.46112238936001</v>
      </c>
      <c r="AR56" s="29">
        <f t="shared" si="38"/>
        <v>0</v>
      </c>
      <c r="AS56" s="29">
        <f t="shared" si="38"/>
        <v>0</v>
      </c>
      <c r="AT56" s="29">
        <f t="shared" si="38"/>
        <v>150.46112238936001</v>
      </c>
      <c r="AU56" s="29">
        <f t="shared" si="38"/>
        <v>0</v>
      </c>
      <c r="AV56" s="29">
        <f t="shared" si="38"/>
        <v>126.71666975250001</v>
      </c>
      <c r="AW56" s="29">
        <f t="shared" si="38"/>
        <v>0</v>
      </c>
      <c r="AX56" s="29">
        <f t="shared" si="38"/>
        <v>0</v>
      </c>
      <c r="AY56" s="29">
        <f t="shared" si="38"/>
        <v>126.71666975250001</v>
      </c>
      <c r="AZ56" s="29">
        <f t="shared" si="38"/>
        <v>0</v>
      </c>
      <c r="BA56" s="29">
        <f t="shared" si="38"/>
        <v>149.75597278967999</v>
      </c>
      <c r="BB56" s="29">
        <f t="shared" si="38"/>
        <v>0</v>
      </c>
      <c r="BC56" s="29">
        <f t="shared" si="38"/>
        <v>0</v>
      </c>
      <c r="BD56" s="29">
        <f t="shared" si="38"/>
        <v>149.75597278967999</v>
      </c>
      <c r="BE56" s="29">
        <f t="shared" si="38"/>
        <v>0</v>
      </c>
      <c r="BF56" s="29">
        <f t="shared" si="38"/>
        <v>178.20330902531998</v>
      </c>
      <c r="BG56" s="29">
        <f t="shared" si="38"/>
        <v>0</v>
      </c>
      <c r="BH56" s="29">
        <f t="shared" si="38"/>
        <v>0</v>
      </c>
      <c r="BI56" s="29">
        <f t="shared" si="38"/>
        <v>178.20330902531998</v>
      </c>
      <c r="BJ56" s="29">
        <f t="shared" si="38"/>
        <v>0</v>
      </c>
      <c r="BK56" s="29" t="e">
        <f t="shared" si="38"/>
        <v>#VALUE!</v>
      </c>
      <c r="BL56" s="29" t="e">
        <f t="shared" si="38"/>
        <v>#VALUE!</v>
      </c>
      <c r="BM56" s="29" t="e">
        <f t="shared" si="38"/>
        <v>#VALUE!</v>
      </c>
      <c r="BN56" s="29" t="e">
        <f t="shared" si="38"/>
        <v>#VALUE!</v>
      </c>
      <c r="BO56" s="29" t="e">
        <f t="shared" si="38"/>
        <v>#VALUE!</v>
      </c>
      <c r="BP56" s="29" t="e">
        <f t="shared" si="38"/>
        <v>#VALUE!</v>
      </c>
      <c r="BQ56" s="29" t="e">
        <f t="shared" si="38"/>
        <v>#VALUE!</v>
      </c>
      <c r="BR56" s="29" t="e">
        <f t="shared" si="38"/>
        <v>#VALUE!</v>
      </c>
      <c r="BS56" s="29" t="e">
        <f t="shared" si="38"/>
        <v>#VALUE!</v>
      </c>
      <c r="BT56" s="29" t="e">
        <f t="shared" si="38"/>
        <v>#VALUE!</v>
      </c>
      <c r="BU56" s="29">
        <f t="shared" si="38"/>
        <v>868.99856166888014</v>
      </c>
      <c r="BV56" s="29">
        <f t="shared" si="38"/>
        <v>0</v>
      </c>
      <c r="BW56" s="29">
        <f t="shared" si="38"/>
        <v>0</v>
      </c>
      <c r="BX56" s="29">
        <f t="shared" si="38"/>
        <v>868.99856166888014</v>
      </c>
      <c r="BY56" s="29">
        <f t="shared" si="38"/>
        <v>0</v>
      </c>
      <c r="BZ56" s="26" t="s">
        <v>117</v>
      </c>
    </row>
    <row r="57" spans="1:78" s="13" customFormat="1" ht="78.75" x14ac:dyDescent="0.25">
      <c r="A57" s="27" t="s">
        <v>69</v>
      </c>
      <c r="B57" s="28" t="s">
        <v>70</v>
      </c>
      <c r="C57" s="26" t="s">
        <v>126</v>
      </c>
      <c r="D57" s="26" t="s">
        <v>117</v>
      </c>
      <c r="E57" s="26" t="s">
        <v>117</v>
      </c>
      <c r="F57" s="26" t="s">
        <v>117</v>
      </c>
      <c r="G57" s="26" t="s">
        <v>117</v>
      </c>
      <c r="H57" s="29">
        <f>H58</f>
        <v>93.201397578339993</v>
      </c>
      <c r="I57" s="29">
        <f>I58</f>
        <v>687.68829952893987</v>
      </c>
      <c r="J57" s="29" t="s">
        <v>117</v>
      </c>
      <c r="K57" s="29" t="s">
        <v>117</v>
      </c>
      <c r="L57" s="29">
        <f>L58</f>
        <v>2.0511050879999999</v>
      </c>
      <c r="M57" s="29">
        <f t="shared" ref="M57:BY57" si="39">M58</f>
        <v>2613.0224818836</v>
      </c>
      <c r="N57" s="29">
        <f t="shared" si="39"/>
        <v>2865.7326527444134</v>
      </c>
      <c r="O57" s="29">
        <f t="shared" si="39"/>
        <v>815.60784184710008</v>
      </c>
      <c r="P57" s="29">
        <f>P58</f>
        <v>813.5567367591002</v>
      </c>
      <c r="Q57" s="29">
        <f>Q58</f>
        <v>810.08619755910013</v>
      </c>
      <c r="R57" s="29">
        <f t="shared" si="39"/>
        <v>691.71211896917998</v>
      </c>
      <c r="S57" s="29">
        <f t="shared" si="39"/>
        <v>565.24583368091999</v>
      </c>
      <c r="T57" s="29">
        <f t="shared" si="39"/>
        <v>423.65940676295997</v>
      </c>
      <c r="U57" s="29">
        <f t="shared" si="39"/>
        <v>296.94273701045995</v>
      </c>
      <c r="V57" s="29">
        <f t="shared" si="39"/>
        <v>151.55880214877999</v>
      </c>
      <c r="W57" s="29">
        <f t="shared" si="39"/>
        <v>3.4705392000000002</v>
      </c>
      <c r="X57" s="29">
        <f t="shared" si="39"/>
        <v>0</v>
      </c>
      <c r="Y57" s="29">
        <f t="shared" si="39"/>
        <v>0</v>
      </c>
      <c r="Z57" s="29">
        <f t="shared" si="39"/>
        <v>3.4705392000000002</v>
      </c>
      <c r="AA57" s="29">
        <f>AA58</f>
        <v>0</v>
      </c>
      <c r="AB57" s="29">
        <f t="shared" ref="AB57:AF57" si="40">AB58</f>
        <v>118.37407858991998</v>
      </c>
      <c r="AC57" s="29">
        <f t="shared" si="40"/>
        <v>0</v>
      </c>
      <c r="AD57" s="29">
        <f t="shared" si="40"/>
        <v>0</v>
      </c>
      <c r="AE57" s="29">
        <f t="shared" si="40"/>
        <v>118.37407858991998</v>
      </c>
      <c r="AF57" s="29">
        <f t="shared" si="40"/>
        <v>0</v>
      </c>
      <c r="AG57" s="29">
        <f t="shared" si="39"/>
        <v>126.46628528826</v>
      </c>
      <c r="AH57" s="29">
        <f t="shared" si="39"/>
        <v>0</v>
      </c>
      <c r="AI57" s="29">
        <f t="shared" si="39"/>
        <v>0</v>
      </c>
      <c r="AJ57" s="29">
        <f t="shared" si="39"/>
        <v>126.46628528826</v>
      </c>
      <c r="AK57" s="29">
        <f t="shared" si="39"/>
        <v>0</v>
      </c>
      <c r="AL57" s="29">
        <f t="shared" si="39"/>
        <v>0</v>
      </c>
      <c r="AM57" s="29">
        <f t="shared" si="39"/>
        <v>0</v>
      </c>
      <c r="AN57" s="29">
        <f t="shared" si="39"/>
        <v>0</v>
      </c>
      <c r="AO57" s="29">
        <f t="shared" si="39"/>
        <v>0</v>
      </c>
      <c r="AP57" s="29">
        <f t="shared" si="39"/>
        <v>0</v>
      </c>
      <c r="AQ57" s="29">
        <f t="shared" si="39"/>
        <v>141.58642691796001</v>
      </c>
      <c r="AR57" s="29">
        <f t="shared" si="39"/>
        <v>0</v>
      </c>
      <c r="AS57" s="29">
        <f t="shared" si="39"/>
        <v>0</v>
      </c>
      <c r="AT57" s="29">
        <f t="shared" si="39"/>
        <v>141.58642691796001</v>
      </c>
      <c r="AU57" s="29">
        <f t="shared" si="39"/>
        <v>0</v>
      </c>
      <c r="AV57" s="29">
        <f t="shared" si="39"/>
        <v>126.71666975250001</v>
      </c>
      <c r="AW57" s="29">
        <f t="shared" si="39"/>
        <v>0</v>
      </c>
      <c r="AX57" s="29">
        <f t="shared" si="39"/>
        <v>0</v>
      </c>
      <c r="AY57" s="29">
        <f t="shared" si="39"/>
        <v>126.71666975250001</v>
      </c>
      <c r="AZ57" s="29">
        <f t="shared" si="39"/>
        <v>0</v>
      </c>
      <c r="BA57" s="29">
        <f t="shared" si="39"/>
        <v>145.38393486167999</v>
      </c>
      <c r="BB57" s="29">
        <f t="shared" si="39"/>
        <v>0</v>
      </c>
      <c r="BC57" s="29">
        <f t="shared" si="39"/>
        <v>0</v>
      </c>
      <c r="BD57" s="29">
        <f t="shared" si="39"/>
        <v>145.38393486167999</v>
      </c>
      <c r="BE57" s="29">
        <f t="shared" si="39"/>
        <v>0</v>
      </c>
      <c r="BF57" s="29">
        <f t="shared" si="39"/>
        <v>151.55880214877999</v>
      </c>
      <c r="BG57" s="29">
        <f t="shared" si="39"/>
        <v>0</v>
      </c>
      <c r="BH57" s="29">
        <f t="shared" si="39"/>
        <v>0</v>
      </c>
      <c r="BI57" s="29">
        <f t="shared" si="39"/>
        <v>151.55880214877999</v>
      </c>
      <c r="BJ57" s="29">
        <f t="shared" si="39"/>
        <v>0</v>
      </c>
      <c r="BK57" s="29">
        <f t="shared" si="39"/>
        <v>0</v>
      </c>
      <c r="BL57" s="29">
        <f t="shared" si="39"/>
        <v>0</v>
      </c>
      <c r="BM57" s="29">
        <f t="shared" si="39"/>
        <v>0</v>
      </c>
      <c r="BN57" s="29">
        <f t="shared" si="39"/>
        <v>0</v>
      </c>
      <c r="BO57" s="29">
        <f t="shared" si="39"/>
        <v>0</v>
      </c>
      <c r="BP57" s="29">
        <f t="shared" si="39"/>
        <v>0</v>
      </c>
      <c r="BQ57" s="29">
        <f t="shared" si="39"/>
        <v>0</v>
      </c>
      <c r="BR57" s="29">
        <f t="shared" si="39"/>
        <v>0</v>
      </c>
      <c r="BS57" s="29">
        <f t="shared" si="39"/>
        <v>0</v>
      </c>
      <c r="BT57" s="29">
        <f t="shared" si="39"/>
        <v>0</v>
      </c>
      <c r="BU57" s="29">
        <f t="shared" si="39"/>
        <v>810.08619755910013</v>
      </c>
      <c r="BV57" s="29">
        <f t="shared" si="39"/>
        <v>0</v>
      </c>
      <c r="BW57" s="29">
        <f t="shared" si="39"/>
        <v>0</v>
      </c>
      <c r="BX57" s="29">
        <f t="shared" si="39"/>
        <v>810.08619755910013</v>
      </c>
      <c r="BY57" s="29">
        <f t="shared" si="39"/>
        <v>0</v>
      </c>
      <c r="BZ57" s="26" t="s">
        <v>117</v>
      </c>
    </row>
    <row r="58" spans="1:78" s="13" customFormat="1" ht="35.25" customHeight="1" x14ac:dyDescent="0.25">
      <c r="A58" s="27" t="s">
        <v>71</v>
      </c>
      <c r="B58" s="28" t="s">
        <v>72</v>
      </c>
      <c r="C58" s="26" t="s">
        <v>126</v>
      </c>
      <c r="D58" s="26" t="s">
        <v>117</v>
      </c>
      <c r="E58" s="26" t="s">
        <v>117</v>
      </c>
      <c r="F58" s="26" t="s">
        <v>117</v>
      </c>
      <c r="G58" s="26" t="s">
        <v>117</v>
      </c>
      <c r="H58" s="29">
        <f>SUM(H59:H81)</f>
        <v>93.201397578339993</v>
      </c>
      <c r="I58" s="29">
        <f t="shared" ref="I58:BT58" si="41">SUM(I59:I81)</f>
        <v>687.68829952893987</v>
      </c>
      <c r="J58" s="29">
        <f t="shared" si="41"/>
        <v>0</v>
      </c>
      <c r="K58" s="29">
        <f t="shared" si="41"/>
        <v>0</v>
      </c>
      <c r="L58" s="29">
        <f t="shared" si="41"/>
        <v>2.0511050879999999</v>
      </c>
      <c r="M58" s="29">
        <f t="shared" si="41"/>
        <v>2613.0224818836</v>
      </c>
      <c r="N58" s="29">
        <f t="shared" si="41"/>
        <v>2865.7326527444134</v>
      </c>
      <c r="O58" s="29">
        <f>SUM(O59:O81)</f>
        <v>815.60784184710008</v>
      </c>
      <c r="P58" s="29">
        <f t="shared" si="41"/>
        <v>813.5567367591002</v>
      </c>
      <c r="Q58" s="29">
        <f t="shared" si="41"/>
        <v>810.08619755910013</v>
      </c>
      <c r="R58" s="29">
        <f t="shared" si="41"/>
        <v>691.71211896917998</v>
      </c>
      <c r="S58" s="29">
        <f t="shared" si="41"/>
        <v>565.24583368091999</v>
      </c>
      <c r="T58" s="29">
        <f t="shared" si="41"/>
        <v>423.65940676295997</v>
      </c>
      <c r="U58" s="29">
        <f t="shared" si="41"/>
        <v>296.94273701045995</v>
      </c>
      <c r="V58" s="29">
        <f t="shared" si="41"/>
        <v>151.55880214877999</v>
      </c>
      <c r="W58" s="29">
        <f t="shared" si="41"/>
        <v>3.4705392000000002</v>
      </c>
      <c r="X58" s="29">
        <f t="shared" si="41"/>
        <v>0</v>
      </c>
      <c r="Y58" s="29">
        <f t="shared" si="41"/>
        <v>0</v>
      </c>
      <c r="Z58" s="29">
        <f t="shared" si="41"/>
        <v>3.4705392000000002</v>
      </c>
      <c r="AA58" s="29">
        <f t="shared" si="41"/>
        <v>0</v>
      </c>
      <c r="AB58" s="29">
        <f t="shared" si="41"/>
        <v>118.37407858991998</v>
      </c>
      <c r="AC58" s="29">
        <f t="shared" si="41"/>
        <v>0</v>
      </c>
      <c r="AD58" s="29">
        <f t="shared" si="41"/>
        <v>0</v>
      </c>
      <c r="AE58" s="29">
        <f t="shared" si="41"/>
        <v>118.37407858991998</v>
      </c>
      <c r="AF58" s="29">
        <f t="shared" si="41"/>
        <v>0</v>
      </c>
      <c r="AG58" s="29">
        <f t="shared" si="41"/>
        <v>126.46628528826</v>
      </c>
      <c r="AH58" s="29">
        <f t="shared" si="41"/>
        <v>0</v>
      </c>
      <c r="AI58" s="29">
        <f t="shared" si="41"/>
        <v>0</v>
      </c>
      <c r="AJ58" s="29">
        <f t="shared" si="41"/>
        <v>126.46628528826</v>
      </c>
      <c r="AK58" s="29">
        <f t="shared" si="41"/>
        <v>0</v>
      </c>
      <c r="AL58" s="29">
        <f t="shared" si="41"/>
        <v>0</v>
      </c>
      <c r="AM58" s="29">
        <f t="shared" si="41"/>
        <v>0</v>
      </c>
      <c r="AN58" s="29">
        <f t="shared" si="41"/>
        <v>0</v>
      </c>
      <c r="AO58" s="29">
        <f t="shared" si="41"/>
        <v>0</v>
      </c>
      <c r="AP58" s="29">
        <f t="shared" si="41"/>
        <v>0</v>
      </c>
      <c r="AQ58" s="29">
        <f t="shared" si="41"/>
        <v>141.58642691796001</v>
      </c>
      <c r="AR58" s="29">
        <f t="shared" si="41"/>
        <v>0</v>
      </c>
      <c r="AS58" s="29">
        <f t="shared" si="41"/>
        <v>0</v>
      </c>
      <c r="AT58" s="29">
        <f t="shared" si="41"/>
        <v>141.58642691796001</v>
      </c>
      <c r="AU58" s="29">
        <f t="shared" si="41"/>
        <v>0</v>
      </c>
      <c r="AV58" s="29">
        <f t="shared" si="41"/>
        <v>126.71666975250001</v>
      </c>
      <c r="AW58" s="29">
        <f t="shared" si="41"/>
        <v>0</v>
      </c>
      <c r="AX58" s="29">
        <f t="shared" si="41"/>
        <v>0</v>
      </c>
      <c r="AY58" s="29">
        <f t="shared" si="41"/>
        <v>126.71666975250001</v>
      </c>
      <c r="AZ58" s="29">
        <f t="shared" si="41"/>
        <v>0</v>
      </c>
      <c r="BA58" s="29">
        <f t="shared" si="41"/>
        <v>145.38393486167999</v>
      </c>
      <c r="BB58" s="29">
        <f t="shared" si="41"/>
        <v>0</v>
      </c>
      <c r="BC58" s="29">
        <f t="shared" si="41"/>
        <v>0</v>
      </c>
      <c r="BD58" s="29">
        <f t="shared" si="41"/>
        <v>145.38393486167999</v>
      </c>
      <c r="BE58" s="29">
        <f t="shared" si="41"/>
        <v>0</v>
      </c>
      <c r="BF58" s="29">
        <f t="shared" si="41"/>
        <v>151.55880214877999</v>
      </c>
      <c r="BG58" s="29">
        <f t="shared" si="41"/>
        <v>0</v>
      </c>
      <c r="BH58" s="29">
        <f t="shared" si="41"/>
        <v>0</v>
      </c>
      <c r="BI58" s="29">
        <f t="shared" si="41"/>
        <v>151.55880214877999</v>
      </c>
      <c r="BJ58" s="29">
        <f t="shared" si="41"/>
        <v>0</v>
      </c>
      <c r="BK58" s="29">
        <f t="shared" si="41"/>
        <v>0</v>
      </c>
      <c r="BL58" s="29">
        <f t="shared" si="41"/>
        <v>0</v>
      </c>
      <c r="BM58" s="29">
        <f t="shared" si="41"/>
        <v>0</v>
      </c>
      <c r="BN58" s="29">
        <f t="shared" si="41"/>
        <v>0</v>
      </c>
      <c r="BO58" s="29">
        <f t="shared" si="41"/>
        <v>0</v>
      </c>
      <c r="BP58" s="29">
        <f t="shared" si="41"/>
        <v>0</v>
      </c>
      <c r="BQ58" s="29">
        <f t="shared" si="41"/>
        <v>0</v>
      </c>
      <c r="BR58" s="29">
        <f t="shared" si="41"/>
        <v>0</v>
      </c>
      <c r="BS58" s="29">
        <f t="shared" si="41"/>
        <v>0</v>
      </c>
      <c r="BT58" s="29">
        <f t="shared" si="41"/>
        <v>0</v>
      </c>
      <c r="BU58" s="29">
        <f t="shared" ref="BU58:BY58" si="42">SUM(BU59:BU81)</f>
        <v>810.08619755910013</v>
      </c>
      <c r="BV58" s="29">
        <f t="shared" si="42"/>
        <v>0</v>
      </c>
      <c r="BW58" s="29">
        <f t="shared" si="42"/>
        <v>0</v>
      </c>
      <c r="BX58" s="29">
        <f t="shared" si="42"/>
        <v>810.08619755910013</v>
      </c>
      <c r="BY58" s="29">
        <f t="shared" si="42"/>
        <v>0</v>
      </c>
      <c r="BZ58" s="26" t="s">
        <v>117</v>
      </c>
    </row>
    <row r="59" spans="1:78" s="13" customFormat="1" ht="78" customHeight="1" x14ac:dyDescent="0.25">
      <c r="A59" s="34" t="s">
        <v>120</v>
      </c>
      <c r="B59" s="30" t="s">
        <v>158</v>
      </c>
      <c r="C59" s="44" t="s">
        <v>159</v>
      </c>
      <c r="D59" s="26" t="s">
        <v>125</v>
      </c>
      <c r="E59" s="26">
        <v>2023</v>
      </c>
      <c r="F59" s="26">
        <v>2026</v>
      </c>
      <c r="G59" s="26"/>
      <c r="H59" s="29">
        <f>9.91813708*1.2</f>
        <v>11.901764495999998</v>
      </c>
      <c r="I59" s="29">
        <f>76.985302*1.2</f>
        <v>92.382362400000005</v>
      </c>
      <c r="J59" s="32" t="s">
        <v>160</v>
      </c>
      <c r="K59" s="26" t="s">
        <v>117</v>
      </c>
      <c r="L59" s="29">
        <v>0</v>
      </c>
      <c r="M59" s="29">
        <f>395392.82496/1000</f>
        <v>395.39282495999998</v>
      </c>
      <c r="N59" s="29">
        <f>432248.07216692/1000</f>
        <v>432.24807216692</v>
      </c>
      <c r="O59" s="29">
        <f>106157.63241852/1000</f>
        <v>106.15763241852001</v>
      </c>
      <c r="P59" s="29">
        <f>O59</f>
        <v>106.15763241852001</v>
      </c>
      <c r="Q59" s="29">
        <v>103.04709321852</v>
      </c>
      <c r="R59" s="29">
        <v>103.04709321852</v>
      </c>
      <c r="S59" s="29">
        <f>AT59</f>
        <v>103.04709321852</v>
      </c>
      <c r="T59" s="29">
        <v>0</v>
      </c>
      <c r="U59" s="29">
        <v>0</v>
      </c>
      <c r="V59" s="29">
        <v>0</v>
      </c>
      <c r="W59" s="29">
        <f>Z59</f>
        <v>3.1105392000000003</v>
      </c>
      <c r="X59" s="29">
        <v>0</v>
      </c>
      <c r="Y59" s="29">
        <v>0</v>
      </c>
      <c r="Z59" s="29">
        <f>3110.5392/1000</f>
        <v>3.1105392000000003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f>AJ59</f>
        <v>0</v>
      </c>
      <c r="AH59" s="29">
        <v>0</v>
      </c>
      <c r="AI59" s="31">
        <v>0</v>
      </c>
      <c r="AJ59" s="31">
        <v>0</v>
      </c>
      <c r="AK59" s="31">
        <v>0</v>
      </c>
      <c r="AL59" s="31"/>
      <c r="AM59" s="31"/>
      <c r="AN59" s="31"/>
      <c r="AO59" s="31"/>
      <c r="AP59" s="31"/>
      <c r="AQ59" s="31">
        <f>AR59+AS59+AT59+AU59</f>
        <v>103.04709321852</v>
      </c>
      <c r="AR59" s="31">
        <f>AR60+AR61+AR62</f>
        <v>0</v>
      </c>
      <c r="AS59" s="31">
        <f>AS60+AS61+AS62</f>
        <v>0</v>
      </c>
      <c r="AT59" s="31">
        <f>103047.09321852/1000</f>
        <v>103.04709321852</v>
      </c>
      <c r="AU59" s="31">
        <f>AU60+AU61+AU62</f>
        <v>0</v>
      </c>
      <c r="AV59" s="31">
        <f>AW59+AX59+AY59+AZ59</f>
        <v>0</v>
      </c>
      <c r="AW59" s="31">
        <f t="shared" ref="AW59:BJ59" si="43">AW60+AW61+AW62</f>
        <v>0</v>
      </c>
      <c r="AX59" s="31">
        <f t="shared" si="43"/>
        <v>0</v>
      </c>
      <c r="AY59" s="31">
        <v>0</v>
      </c>
      <c r="AZ59" s="31">
        <f t="shared" si="43"/>
        <v>0</v>
      </c>
      <c r="BA59" s="31">
        <v>0</v>
      </c>
      <c r="BB59" s="31">
        <f t="shared" si="43"/>
        <v>0</v>
      </c>
      <c r="BC59" s="31">
        <f t="shared" si="43"/>
        <v>0</v>
      </c>
      <c r="BD59" s="31">
        <v>0</v>
      </c>
      <c r="BE59" s="31">
        <f t="shared" si="43"/>
        <v>0</v>
      </c>
      <c r="BF59" s="31">
        <f t="shared" si="43"/>
        <v>0</v>
      </c>
      <c r="BG59" s="31">
        <f t="shared" si="43"/>
        <v>0</v>
      </c>
      <c r="BH59" s="31">
        <f t="shared" si="43"/>
        <v>0</v>
      </c>
      <c r="BI59" s="31">
        <f t="shared" si="43"/>
        <v>0</v>
      </c>
      <c r="BJ59" s="31">
        <f t="shared" si="43"/>
        <v>0</v>
      </c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31">
        <f>BX59</f>
        <v>103.04709321852</v>
      </c>
      <c r="BV59" s="31">
        <v>0</v>
      </c>
      <c r="BW59" s="31">
        <v>0</v>
      </c>
      <c r="BX59" s="31">
        <f>BI59+BD59+AY59+AT59+AJ59+AE59</f>
        <v>103.04709321852</v>
      </c>
      <c r="BY59" s="31">
        <v>0</v>
      </c>
      <c r="BZ59" s="52" t="s">
        <v>146</v>
      </c>
    </row>
    <row r="60" spans="1:78" s="13" customFormat="1" ht="63" x14ac:dyDescent="0.25">
      <c r="A60" s="34" t="s">
        <v>121</v>
      </c>
      <c r="B60" s="30" t="s">
        <v>161</v>
      </c>
      <c r="C60" s="44" t="s">
        <v>200</v>
      </c>
      <c r="D60" s="26" t="s">
        <v>125</v>
      </c>
      <c r="E60" s="26">
        <v>2016</v>
      </c>
      <c r="F60" s="26">
        <v>2025</v>
      </c>
      <c r="G60" s="26"/>
      <c r="H60" s="29">
        <v>14.90285838114</v>
      </c>
      <c r="I60" s="29">
        <v>109.94353738295999</v>
      </c>
      <c r="J60" s="32" t="s">
        <v>160</v>
      </c>
      <c r="K60" s="26" t="s">
        <v>117</v>
      </c>
      <c r="L60" s="29">
        <f>609.25424/1000*1.2</f>
        <v>0.73110508799999996</v>
      </c>
      <c r="M60" s="29">
        <f>288840.53142/1000</f>
        <v>288.84053141999999</v>
      </c>
      <c r="N60" s="29">
        <f>302704.87692816/1000</f>
        <v>302.70487692816005</v>
      </c>
      <c r="O60" s="29">
        <f>R60+L60</f>
        <v>121.25182947882001</v>
      </c>
      <c r="P60" s="29">
        <f>Q60</f>
        <v>120.52072439082001</v>
      </c>
      <c r="Q60" s="29">
        <v>120.52072439082001</v>
      </c>
      <c r="R60" s="29">
        <f>AJ60</f>
        <v>120.52072439082001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f>AJ60</f>
        <v>120.52072439082001</v>
      </c>
      <c r="AH60" s="29">
        <v>0</v>
      </c>
      <c r="AI60" s="31">
        <v>0</v>
      </c>
      <c r="AJ60" s="31">
        <f>120520.72439082/1000</f>
        <v>120.52072439082001</v>
      </c>
      <c r="AK60" s="31">
        <v>0</v>
      </c>
      <c r="AL60" s="31"/>
      <c r="AM60" s="31"/>
      <c r="AN60" s="31"/>
      <c r="AO60" s="31"/>
      <c r="AP60" s="31"/>
      <c r="AQ60" s="31">
        <v>0</v>
      </c>
      <c r="AR60" s="31">
        <f>AR61+AR62+AR63</f>
        <v>0</v>
      </c>
      <c r="AS60" s="31">
        <f>AS61+AS62+AS63</f>
        <v>0</v>
      </c>
      <c r="AT60" s="31">
        <v>0</v>
      </c>
      <c r="AU60" s="31">
        <f>AU61+AU62+AU63</f>
        <v>0</v>
      </c>
      <c r="AV60" s="31">
        <f t="shared" ref="AV60:AV72" si="44">AW60+AX60+AY60+AZ60</f>
        <v>0</v>
      </c>
      <c r="AW60" s="31">
        <f>AW61+AW62+AW63</f>
        <v>0</v>
      </c>
      <c r="AX60" s="31">
        <f>AX61+AX62+AX63</f>
        <v>0</v>
      </c>
      <c r="AY60" s="31">
        <v>0</v>
      </c>
      <c r="AZ60" s="31">
        <f>AZ61+AZ62+AZ63</f>
        <v>0</v>
      </c>
      <c r="BA60" s="31">
        <v>0</v>
      </c>
      <c r="BB60" s="31">
        <f>BB61+BB62+BB63</f>
        <v>0</v>
      </c>
      <c r="BC60" s="31">
        <f>BC61+BC62+BC63</f>
        <v>0</v>
      </c>
      <c r="BD60" s="31">
        <v>0</v>
      </c>
      <c r="BE60" s="31">
        <f t="shared" ref="BE60:BJ60" si="45">BE61+BE62+BE63</f>
        <v>0</v>
      </c>
      <c r="BF60" s="31">
        <f t="shared" si="45"/>
        <v>0</v>
      </c>
      <c r="BG60" s="31">
        <f t="shared" si="45"/>
        <v>0</v>
      </c>
      <c r="BH60" s="31">
        <f t="shared" si="45"/>
        <v>0</v>
      </c>
      <c r="BI60" s="31">
        <f t="shared" si="45"/>
        <v>0</v>
      </c>
      <c r="BJ60" s="31">
        <f t="shared" si="45"/>
        <v>0</v>
      </c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31">
        <f>BX60</f>
        <v>120.52072439082001</v>
      </c>
      <c r="BV60" s="29">
        <v>0</v>
      </c>
      <c r="BW60" s="29">
        <v>0</v>
      </c>
      <c r="BX60" s="31">
        <f>BI60+BD60+AY60+AT60+AJ60+AE60</f>
        <v>120.52072439082001</v>
      </c>
      <c r="BY60" s="31">
        <v>0</v>
      </c>
      <c r="BZ60" s="52" t="s">
        <v>146</v>
      </c>
    </row>
    <row r="61" spans="1:78" s="13" customFormat="1" ht="63" x14ac:dyDescent="0.25">
      <c r="A61" s="34" t="s">
        <v>122</v>
      </c>
      <c r="B61" s="30" t="s">
        <v>162</v>
      </c>
      <c r="C61" s="44" t="s">
        <v>201</v>
      </c>
      <c r="D61" s="26" t="s">
        <v>125</v>
      </c>
      <c r="E61" s="26">
        <v>2025</v>
      </c>
      <c r="F61" s="26">
        <v>2028</v>
      </c>
      <c r="G61" s="26"/>
      <c r="H61" s="29">
        <f>10.49577464*1.2</f>
        <v>12.594929568</v>
      </c>
      <c r="I61" s="29">
        <f>79.07248816*1.2</f>
        <v>94.886985792000004</v>
      </c>
      <c r="J61" s="32" t="s">
        <v>160</v>
      </c>
      <c r="K61" s="26" t="s">
        <v>117</v>
      </c>
      <c r="L61" s="29">
        <v>0</v>
      </c>
      <c r="M61" s="29">
        <f>464538.30888/1000</f>
        <v>464.53830888000005</v>
      </c>
      <c r="N61" s="29">
        <f>540322.053096756/1000</f>
        <v>540.32205309675601</v>
      </c>
      <c r="O61" s="29">
        <f>AG61+AQ61+AV61+BA61+BF61</f>
        <v>116.17574963051999</v>
      </c>
      <c r="P61" s="29">
        <f t="shared" ref="P61:P72" si="46">Q61</f>
        <v>116.17574963051999</v>
      </c>
      <c r="Q61" s="29">
        <f t="shared" ref="Q61:Q72" si="47">O61</f>
        <v>116.17574963051999</v>
      </c>
      <c r="R61" s="29">
        <f>O61</f>
        <v>116.17574963051999</v>
      </c>
      <c r="S61" s="29">
        <f>R61-AJ61</f>
        <v>110.91847925051999</v>
      </c>
      <c r="T61" s="29">
        <f>S61</f>
        <v>110.91847925051999</v>
      </c>
      <c r="U61" s="29">
        <f>T61-AV61</f>
        <v>47.83193954171999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>
        <f>AJ61</f>
        <v>5.2572703799999996</v>
      </c>
      <c r="AH61" s="29">
        <v>0</v>
      </c>
      <c r="AI61" s="31">
        <v>0</v>
      </c>
      <c r="AJ61" s="31">
        <f>5257.27038/1000</f>
        <v>5.2572703799999996</v>
      </c>
      <c r="AK61" s="31">
        <v>0</v>
      </c>
      <c r="AL61" s="31"/>
      <c r="AM61" s="31"/>
      <c r="AN61" s="31"/>
      <c r="AO61" s="31"/>
      <c r="AP61" s="31"/>
      <c r="AQ61" s="31">
        <v>0</v>
      </c>
      <c r="AR61" s="31">
        <v>0</v>
      </c>
      <c r="AS61" s="31">
        <v>0</v>
      </c>
      <c r="AT61" s="31">
        <v>0</v>
      </c>
      <c r="AU61" s="31">
        <v>0</v>
      </c>
      <c r="AV61" s="31">
        <f t="shared" si="44"/>
        <v>63.086539708800004</v>
      </c>
      <c r="AW61" s="31">
        <v>0</v>
      </c>
      <c r="AX61" s="31">
        <v>0</v>
      </c>
      <c r="AY61" s="31">
        <f>63086.5397088/1000</f>
        <v>63.086539708800004</v>
      </c>
      <c r="AZ61" s="31">
        <v>0</v>
      </c>
      <c r="BA61" s="31">
        <f>BD61</f>
        <v>47.831939541719997</v>
      </c>
      <c r="BB61" s="31">
        <v>0</v>
      </c>
      <c r="BC61" s="31">
        <v>0</v>
      </c>
      <c r="BD61" s="31">
        <f>47831.93954172/1000</f>
        <v>47.831939541719997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31">
        <f t="shared" ref="BU61:BU116" si="48">BX61</f>
        <v>116.17574963051999</v>
      </c>
      <c r="BV61" s="29">
        <v>0</v>
      </c>
      <c r="BW61" s="29">
        <v>0</v>
      </c>
      <c r="BX61" s="31">
        <f t="shared" ref="BX61:BX81" si="49">BI61+BD61+AY61+AT61+AJ61+AE61</f>
        <v>116.17574963051999</v>
      </c>
      <c r="BY61" s="31">
        <v>0</v>
      </c>
      <c r="BZ61" s="52" t="s">
        <v>146</v>
      </c>
    </row>
    <row r="62" spans="1:78" s="13" customFormat="1" ht="72" customHeight="1" x14ac:dyDescent="0.25">
      <c r="A62" s="34" t="s">
        <v>130</v>
      </c>
      <c r="B62" s="30" t="s">
        <v>163</v>
      </c>
      <c r="C62" s="44" t="s">
        <v>202</v>
      </c>
      <c r="D62" s="26" t="s">
        <v>125</v>
      </c>
      <c r="E62" s="26">
        <v>2026</v>
      </c>
      <c r="F62" s="26">
        <v>2027</v>
      </c>
      <c r="G62" s="26"/>
      <c r="H62" s="29">
        <f>2.46945358*1.2</f>
        <v>2.9633442960000003</v>
      </c>
      <c r="I62" s="29">
        <f>18.66351975*1.2</f>
        <v>22.396223699999997</v>
      </c>
      <c r="J62" s="32" t="s">
        <v>160</v>
      </c>
      <c r="K62" s="26" t="s">
        <v>117</v>
      </c>
      <c r="L62" s="29">
        <v>0</v>
      </c>
      <c r="M62" s="29">
        <f>180940.29648/1000</f>
        <v>180.94029648</v>
      </c>
      <c r="N62" s="29">
        <f>206851.277101786/1000</f>
        <v>206.851277101786</v>
      </c>
      <c r="O62" s="29">
        <f>AQ62+AV62</f>
        <v>26.931918461160002</v>
      </c>
      <c r="P62" s="29">
        <f t="shared" si="46"/>
        <v>26.931918461160002</v>
      </c>
      <c r="Q62" s="29">
        <f t="shared" si="47"/>
        <v>26.931918461160002</v>
      </c>
      <c r="R62" s="29">
        <f t="shared" ref="R62:S66" si="50">Q62</f>
        <v>26.931918461160002</v>
      </c>
      <c r="S62" s="29">
        <f t="shared" si="50"/>
        <v>26.931918461160002</v>
      </c>
      <c r="T62" s="29">
        <f>S62-AQ62</f>
        <v>24.553715861160001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f>AJ62</f>
        <v>0</v>
      </c>
      <c r="AH62" s="29">
        <v>0</v>
      </c>
      <c r="AI62" s="31">
        <v>0</v>
      </c>
      <c r="AJ62" s="31">
        <v>0</v>
      </c>
      <c r="AK62" s="31">
        <v>0</v>
      </c>
      <c r="AL62" s="31"/>
      <c r="AM62" s="31"/>
      <c r="AN62" s="31"/>
      <c r="AO62" s="31"/>
      <c r="AP62" s="31"/>
      <c r="AQ62" s="31">
        <f>AT62</f>
        <v>2.3782026000000003</v>
      </c>
      <c r="AR62" s="31">
        <v>0</v>
      </c>
      <c r="AS62" s="31">
        <v>0</v>
      </c>
      <c r="AT62" s="31">
        <f>2378.2026/1000</f>
        <v>2.3782026000000003</v>
      </c>
      <c r="AU62" s="31">
        <v>0</v>
      </c>
      <c r="AV62" s="31">
        <f t="shared" si="44"/>
        <v>24.553715861160001</v>
      </c>
      <c r="AW62" s="31">
        <v>0</v>
      </c>
      <c r="AX62" s="31">
        <v>0</v>
      </c>
      <c r="AY62" s="31">
        <f>24553.71586116/1000</f>
        <v>24.553715861160001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31">
        <f t="shared" si="48"/>
        <v>26.931918461160002</v>
      </c>
      <c r="BV62" s="29">
        <v>0</v>
      </c>
      <c r="BW62" s="29">
        <v>0</v>
      </c>
      <c r="BX62" s="31">
        <f t="shared" si="49"/>
        <v>26.931918461160002</v>
      </c>
      <c r="BY62" s="31">
        <v>0</v>
      </c>
      <c r="BZ62" s="52" t="s">
        <v>146</v>
      </c>
    </row>
    <row r="63" spans="1:78" s="13" customFormat="1" ht="74.25" customHeight="1" x14ac:dyDescent="0.25">
      <c r="A63" s="34" t="s">
        <v>131</v>
      </c>
      <c r="B63" s="30" t="s">
        <v>164</v>
      </c>
      <c r="C63" s="44" t="s">
        <v>203</v>
      </c>
      <c r="D63" s="26" t="s">
        <v>125</v>
      </c>
      <c r="E63" s="26">
        <v>2026</v>
      </c>
      <c r="F63" s="26">
        <v>2027</v>
      </c>
      <c r="G63" s="26"/>
      <c r="H63" s="29">
        <f>2.25644282*1.2</f>
        <v>2.7077313840000001</v>
      </c>
      <c r="I63" s="29">
        <f>17.40978885*1.2</f>
        <v>20.891746620000003</v>
      </c>
      <c r="J63" s="32" t="s">
        <v>160</v>
      </c>
      <c r="K63" s="26" t="s">
        <v>117</v>
      </c>
      <c r="L63" s="29">
        <v>0</v>
      </c>
      <c r="M63" s="29">
        <f>52658.43108/1000</f>
        <v>52.65843108</v>
      </c>
      <c r="N63" s="29">
        <f>59981.6990780784/1000</f>
        <v>59.981699078078407</v>
      </c>
      <c r="O63" s="29">
        <f>AQ63+AV63</f>
        <v>25.024091505719998</v>
      </c>
      <c r="P63" s="29">
        <f t="shared" si="46"/>
        <v>25.024091505719998</v>
      </c>
      <c r="Q63" s="29">
        <f t="shared" si="47"/>
        <v>25.024091505719998</v>
      </c>
      <c r="R63" s="29">
        <f t="shared" si="50"/>
        <v>25.024091505719998</v>
      </c>
      <c r="S63" s="29">
        <f t="shared" si="50"/>
        <v>25.024091505719998</v>
      </c>
      <c r="T63" s="29">
        <f>S63-AQ63</f>
        <v>20.660810949719998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31">
        <v>0</v>
      </c>
      <c r="AJ63" s="31">
        <v>0</v>
      </c>
      <c r="AK63" s="31">
        <v>0</v>
      </c>
      <c r="AL63" s="31"/>
      <c r="AM63" s="31"/>
      <c r="AN63" s="31"/>
      <c r="AO63" s="31"/>
      <c r="AP63" s="31"/>
      <c r="AQ63" s="31">
        <f>AT63</f>
        <v>4.3632805559999994</v>
      </c>
      <c r="AR63" s="31">
        <v>0</v>
      </c>
      <c r="AS63" s="31">
        <v>0</v>
      </c>
      <c r="AT63" s="31">
        <f>4363.280556/1000</f>
        <v>4.3632805559999994</v>
      </c>
      <c r="AU63" s="31">
        <v>0</v>
      </c>
      <c r="AV63" s="31">
        <f t="shared" si="44"/>
        <v>20.660810949719998</v>
      </c>
      <c r="AW63" s="31">
        <v>0</v>
      </c>
      <c r="AX63" s="31">
        <v>0</v>
      </c>
      <c r="AY63" s="31">
        <f>20660.81094972/1000</f>
        <v>20.660810949719998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31">
        <f t="shared" si="48"/>
        <v>25.024091505719998</v>
      </c>
      <c r="BV63" s="29">
        <v>0</v>
      </c>
      <c r="BW63" s="29">
        <v>0</v>
      </c>
      <c r="BX63" s="31">
        <f t="shared" si="49"/>
        <v>25.024091505719998</v>
      </c>
      <c r="BY63" s="31">
        <v>0</v>
      </c>
      <c r="BZ63" s="52" t="s">
        <v>146</v>
      </c>
    </row>
    <row r="64" spans="1:78" s="13" customFormat="1" ht="81.75" customHeight="1" x14ac:dyDescent="0.25">
      <c r="A64" s="34" t="s">
        <v>132</v>
      </c>
      <c r="B64" s="30" t="s">
        <v>165</v>
      </c>
      <c r="C64" s="44" t="s">
        <v>204</v>
      </c>
      <c r="D64" s="26" t="s">
        <v>125</v>
      </c>
      <c r="E64" s="26">
        <v>2026</v>
      </c>
      <c r="F64" s="26">
        <v>2027</v>
      </c>
      <c r="G64" s="26"/>
      <c r="H64" s="29">
        <f>1.78910485*1.2</f>
        <v>2.1469258199999999</v>
      </c>
      <c r="I64" s="29">
        <f>14.1506394*1.2</f>
        <v>16.980767279999998</v>
      </c>
      <c r="J64" s="32" t="s">
        <v>160</v>
      </c>
      <c r="K64" s="26" t="s">
        <v>117</v>
      </c>
      <c r="L64" s="29">
        <v>0</v>
      </c>
      <c r="M64" s="29">
        <f>51183.4776/1000</f>
        <v>51.183477599999996</v>
      </c>
      <c r="N64" s="29">
        <f>49625.5585236004/1000</f>
        <v>49.625558523600397</v>
      </c>
      <c r="O64" s="29">
        <f>AQ64+AV64</f>
        <v>20.41088295282</v>
      </c>
      <c r="P64" s="29">
        <f t="shared" si="46"/>
        <v>20.41088295282</v>
      </c>
      <c r="Q64" s="29">
        <f t="shared" si="47"/>
        <v>20.41088295282</v>
      </c>
      <c r="R64" s="29">
        <f t="shared" si="50"/>
        <v>20.41088295282</v>
      </c>
      <c r="S64" s="29">
        <f t="shared" si="50"/>
        <v>20.41088295282</v>
      </c>
      <c r="T64" s="29">
        <f>S64-AQ64</f>
        <v>18.415603232820001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31">
        <v>0</v>
      </c>
      <c r="AJ64" s="31">
        <v>0</v>
      </c>
      <c r="AK64" s="31">
        <v>0</v>
      </c>
      <c r="AL64" s="31"/>
      <c r="AM64" s="31"/>
      <c r="AN64" s="31"/>
      <c r="AO64" s="31"/>
      <c r="AP64" s="31"/>
      <c r="AQ64" s="31">
        <f>AT64</f>
        <v>1.9952797200000001</v>
      </c>
      <c r="AR64" s="31">
        <v>0</v>
      </c>
      <c r="AS64" s="31">
        <v>0</v>
      </c>
      <c r="AT64" s="31">
        <f>1995.27972/1000</f>
        <v>1.9952797200000001</v>
      </c>
      <c r="AU64" s="31">
        <v>0</v>
      </c>
      <c r="AV64" s="31">
        <f t="shared" si="44"/>
        <v>18.415603232820001</v>
      </c>
      <c r="AW64" s="31">
        <v>0</v>
      </c>
      <c r="AX64" s="31">
        <v>0</v>
      </c>
      <c r="AY64" s="31">
        <f>18415.60323282/1000</f>
        <v>18.415603232820001</v>
      </c>
      <c r="AZ64" s="31">
        <v>0</v>
      </c>
      <c r="BA64" s="31">
        <v>0</v>
      </c>
      <c r="BB64" s="31">
        <v>0</v>
      </c>
      <c r="BC64" s="31">
        <v>0</v>
      </c>
      <c r="BD64" s="31">
        <v>0</v>
      </c>
      <c r="BE64" s="31">
        <v>0</v>
      </c>
      <c r="BF64" s="31">
        <v>0</v>
      </c>
      <c r="BG64" s="31">
        <v>0</v>
      </c>
      <c r="BH64" s="31">
        <v>0</v>
      </c>
      <c r="BI64" s="31">
        <v>0</v>
      </c>
      <c r="BJ64" s="31">
        <v>0</v>
      </c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31">
        <f t="shared" si="48"/>
        <v>20.41088295282</v>
      </c>
      <c r="BV64" s="29">
        <v>0</v>
      </c>
      <c r="BW64" s="29">
        <v>0</v>
      </c>
      <c r="BX64" s="31">
        <f t="shared" si="49"/>
        <v>20.41088295282</v>
      </c>
      <c r="BY64" s="31">
        <v>0</v>
      </c>
      <c r="BZ64" s="52" t="s">
        <v>146</v>
      </c>
    </row>
    <row r="65" spans="1:78" s="13" customFormat="1" ht="69" customHeight="1" x14ac:dyDescent="0.25">
      <c r="A65" s="34" t="s">
        <v>134</v>
      </c>
      <c r="B65" s="30" t="s">
        <v>198</v>
      </c>
      <c r="C65" s="44" t="s">
        <v>205</v>
      </c>
      <c r="D65" s="26" t="s">
        <v>125</v>
      </c>
      <c r="E65" s="26">
        <v>2028</v>
      </c>
      <c r="F65" s="26">
        <v>2028</v>
      </c>
      <c r="G65" s="26"/>
      <c r="H65" s="29">
        <f>2.82097594*1.2</f>
        <v>3.3851711279999996</v>
      </c>
      <c r="I65" s="29">
        <f>18.30458735*1.2</f>
        <v>21.965504819999996</v>
      </c>
      <c r="J65" s="32" t="s">
        <v>160</v>
      </c>
      <c r="K65" s="26" t="s">
        <v>117</v>
      </c>
      <c r="L65" s="29">
        <v>0</v>
      </c>
      <c r="M65" s="29">
        <f>40251.0529836/1000</f>
        <v>40.251052983599998</v>
      </c>
      <c r="N65" s="29">
        <f>48276.2560892661/1000</f>
        <v>48.276256089266099</v>
      </c>
      <c r="O65" s="29">
        <f>BA65</f>
        <v>27.741241693679999</v>
      </c>
      <c r="P65" s="29">
        <f t="shared" si="46"/>
        <v>27.741241693679999</v>
      </c>
      <c r="Q65" s="29">
        <f t="shared" si="47"/>
        <v>27.741241693679999</v>
      </c>
      <c r="R65" s="29">
        <f t="shared" si="50"/>
        <v>27.741241693679999</v>
      </c>
      <c r="S65" s="29">
        <f t="shared" si="50"/>
        <v>27.741241693679999</v>
      </c>
      <c r="T65" s="29">
        <f>S65</f>
        <v>27.741241693679999</v>
      </c>
      <c r="U65" s="29">
        <f>T65</f>
        <v>27.741241693679999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0</v>
      </c>
      <c r="AH65" s="29">
        <v>0</v>
      </c>
      <c r="AI65" s="31">
        <v>0</v>
      </c>
      <c r="AJ65" s="31">
        <v>0</v>
      </c>
      <c r="AK65" s="31">
        <v>0</v>
      </c>
      <c r="AL65" s="31"/>
      <c r="AM65" s="31"/>
      <c r="AN65" s="31"/>
      <c r="AO65" s="31"/>
      <c r="AP65" s="31"/>
      <c r="AQ65" s="31">
        <v>0</v>
      </c>
      <c r="AR65" s="31">
        <v>0</v>
      </c>
      <c r="AS65" s="31">
        <v>0</v>
      </c>
      <c r="AT65" s="31">
        <v>0</v>
      </c>
      <c r="AU65" s="31">
        <v>0</v>
      </c>
      <c r="AV65" s="31">
        <f t="shared" si="44"/>
        <v>0</v>
      </c>
      <c r="AW65" s="31">
        <v>0</v>
      </c>
      <c r="AX65" s="31">
        <v>0</v>
      </c>
      <c r="AY65" s="31">
        <v>0</v>
      </c>
      <c r="AZ65" s="31">
        <v>0</v>
      </c>
      <c r="BA65" s="31">
        <f t="shared" ref="BA65:BA70" si="51">BD65</f>
        <v>27.741241693679999</v>
      </c>
      <c r="BB65" s="31">
        <v>0</v>
      </c>
      <c r="BC65" s="31">
        <v>0</v>
      </c>
      <c r="BD65" s="31">
        <f>27741.24169368/1000</f>
        <v>27.741241693679999</v>
      </c>
      <c r="BE65" s="31">
        <v>0</v>
      </c>
      <c r="BF65" s="31">
        <v>0</v>
      </c>
      <c r="BG65" s="31">
        <v>0</v>
      </c>
      <c r="BH65" s="31">
        <v>0</v>
      </c>
      <c r="BI65" s="31">
        <v>0</v>
      </c>
      <c r="BJ65" s="31">
        <v>0</v>
      </c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31">
        <f t="shared" si="48"/>
        <v>27.741241693679999</v>
      </c>
      <c r="BV65" s="29">
        <f t="shared" ref="BV65:BW68" si="52">BV83</f>
        <v>0</v>
      </c>
      <c r="BW65" s="29">
        <f t="shared" si="52"/>
        <v>0</v>
      </c>
      <c r="BX65" s="31">
        <f t="shared" si="49"/>
        <v>27.741241693679999</v>
      </c>
      <c r="BY65" s="31">
        <v>0</v>
      </c>
      <c r="BZ65" s="52" t="s">
        <v>146</v>
      </c>
    </row>
    <row r="66" spans="1:78" s="13" customFormat="1" ht="82.5" customHeight="1" x14ac:dyDescent="0.25">
      <c r="A66" s="34" t="s">
        <v>135</v>
      </c>
      <c r="B66" s="30" t="s">
        <v>199</v>
      </c>
      <c r="C66" s="44" t="s">
        <v>206</v>
      </c>
      <c r="D66" s="26" t="s">
        <v>125</v>
      </c>
      <c r="E66" s="26">
        <v>2028</v>
      </c>
      <c r="F66" s="26">
        <v>2029</v>
      </c>
      <c r="G66" s="26"/>
      <c r="H66" s="29">
        <f>3.67096436*1.2</f>
        <v>4.4051572319999996</v>
      </c>
      <c r="I66" s="29">
        <f>27.5433176*1.2</f>
        <v>33.051981120000001</v>
      </c>
      <c r="J66" s="32" t="s">
        <v>160</v>
      </c>
      <c r="K66" s="26" t="s">
        <v>117</v>
      </c>
      <c r="L66" s="29">
        <v>0</v>
      </c>
      <c r="M66" s="29">
        <f>94410.39936/1000</f>
        <v>94.41039936</v>
      </c>
      <c r="N66" s="29">
        <f>117738.313890752/1000</f>
        <v>117.73831389075201</v>
      </c>
      <c r="O66" s="29">
        <f>BA66+BF66</f>
        <v>43.495186875659996</v>
      </c>
      <c r="P66" s="29">
        <f t="shared" si="46"/>
        <v>43.495186875659996</v>
      </c>
      <c r="Q66" s="29">
        <f t="shared" si="47"/>
        <v>43.495186875659996</v>
      </c>
      <c r="R66" s="29">
        <f t="shared" si="50"/>
        <v>43.495186875659996</v>
      </c>
      <c r="S66" s="29">
        <f t="shared" si="50"/>
        <v>43.495186875659996</v>
      </c>
      <c r="T66" s="29">
        <f>S66</f>
        <v>43.495186875659996</v>
      </c>
      <c r="U66" s="29">
        <f>T66</f>
        <v>43.495186875659996</v>
      </c>
      <c r="V66" s="29">
        <f>U66-BD66</f>
        <v>39.846384951659999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31">
        <v>0</v>
      </c>
      <c r="AJ66" s="31">
        <v>0</v>
      </c>
      <c r="AK66" s="31">
        <v>0</v>
      </c>
      <c r="AL66" s="31"/>
      <c r="AM66" s="31"/>
      <c r="AN66" s="31"/>
      <c r="AO66" s="31"/>
      <c r="AP66" s="31"/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f t="shared" si="44"/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f t="shared" si="51"/>
        <v>3.6488019239999998</v>
      </c>
      <c r="BB66" s="31">
        <v>0</v>
      </c>
      <c r="BC66" s="31">
        <v>0</v>
      </c>
      <c r="BD66" s="31">
        <v>3.6488019239999998</v>
      </c>
      <c r="BE66" s="31">
        <v>0</v>
      </c>
      <c r="BF66" s="31">
        <f>BI66</f>
        <v>39.846384951659999</v>
      </c>
      <c r="BG66" s="31">
        <v>0</v>
      </c>
      <c r="BH66" s="31">
        <v>0</v>
      </c>
      <c r="BI66" s="31">
        <f>39846.38495166/1000</f>
        <v>39.846384951659999</v>
      </c>
      <c r="BJ66" s="31">
        <v>0</v>
      </c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31">
        <f t="shared" si="48"/>
        <v>43.495186875659996</v>
      </c>
      <c r="BV66" s="29">
        <f t="shared" si="52"/>
        <v>0</v>
      </c>
      <c r="BW66" s="29">
        <f t="shared" si="52"/>
        <v>0</v>
      </c>
      <c r="BX66" s="31">
        <f t="shared" si="49"/>
        <v>43.495186875659996</v>
      </c>
      <c r="BY66" s="31">
        <v>0</v>
      </c>
      <c r="BZ66" s="52" t="s">
        <v>146</v>
      </c>
    </row>
    <row r="67" spans="1:78" s="13" customFormat="1" ht="63" customHeight="1" x14ac:dyDescent="0.25">
      <c r="A67" s="34" t="s">
        <v>136</v>
      </c>
      <c r="B67" s="30" t="s">
        <v>166</v>
      </c>
      <c r="C67" s="44" t="s">
        <v>207</v>
      </c>
      <c r="D67" s="26" t="s">
        <v>125</v>
      </c>
      <c r="E67" s="26">
        <v>2025</v>
      </c>
      <c r="F67" s="26">
        <v>2025</v>
      </c>
      <c r="G67" s="26"/>
      <c r="H67" s="29">
        <f>0.06819567*1.2</f>
        <v>8.1834803999999997E-2</v>
      </c>
      <c r="I67" s="29">
        <f>0.51975764*1.2</f>
        <v>0.62370916799999998</v>
      </c>
      <c r="J67" s="32" t="s">
        <v>160</v>
      </c>
      <c r="K67" s="26" t="s">
        <v>117</v>
      </c>
      <c r="L67" s="29">
        <v>0</v>
      </c>
      <c r="M67" s="29">
        <f>18462.4158/1000</f>
        <v>18.462415799999999</v>
      </c>
      <c r="N67" s="29">
        <f>19348.6117584/1000</f>
        <v>19.348611758399997</v>
      </c>
      <c r="O67" s="29">
        <f>AG67</f>
        <v>0.68829051744000003</v>
      </c>
      <c r="P67" s="29">
        <f t="shared" si="46"/>
        <v>0.68829051744000003</v>
      </c>
      <c r="Q67" s="29">
        <f t="shared" si="47"/>
        <v>0.68829051744000003</v>
      </c>
      <c r="R67" s="29">
        <f>Q67</f>
        <v>0.68829051744000003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f>AJ67</f>
        <v>0.68829051744000003</v>
      </c>
      <c r="AH67" s="29">
        <v>0</v>
      </c>
      <c r="AI67" s="31">
        <v>0</v>
      </c>
      <c r="AJ67" s="31">
        <f>688.29051744/1000</f>
        <v>0.68829051744000003</v>
      </c>
      <c r="AK67" s="31">
        <v>0</v>
      </c>
      <c r="AL67" s="31"/>
      <c r="AM67" s="31"/>
      <c r="AN67" s="31"/>
      <c r="AO67" s="31"/>
      <c r="AP67" s="31"/>
      <c r="AQ67" s="31">
        <v>0</v>
      </c>
      <c r="AR67" s="31">
        <v>0</v>
      </c>
      <c r="AS67" s="31">
        <v>0</v>
      </c>
      <c r="AT67" s="31">
        <v>0</v>
      </c>
      <c r="AU67" s="31">
        <v>0</v>
      </c>
      <c r="AV67" s="31">
        <f t="shared" si="44"/>
        <v>0</v>
      </c>
      <c r="AW67" s="31">
        <v>0</v>
      </c>
      <c r="AX67" s="31">
        <v>0</v>
      </c>
      <c r="AY67" s="31">
        <v>0</v>
      </c>
      <c r="AZ67" s="31">
        <v>0</v>
      </c>
      <c r="BA67" s="31">
        <f t="shared" si="51"/>
        <v>0</v>
      </c>
      <c r="BB67" s="31">
        <v>0</v>
      </c>
      <c r="BC67" s="31">
        <v>0</v>
      </c>
      <c r="BD67" s="31">
        <v>0</v>
      </c>
      <c r="BE67" s="31">
        <v>0</v>
      </c>
      <c r="BF67" s="31">
        <v>0</v>
      </c>
      <c r="BG67" s="31">
        <v>0</v>
      </c>
      <c r="BH67" s="31">
        <v>0</v>
      </c>
      <c r="BI67" s="31">
        <v>0</v>
      </c>
      <c r="BJ67" s="31">
        <v>0</v>
      </c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31">
        <f t="shared" si="48"/>
        <v>0.68829051744000003</v>
      </c>
      <c r="BV67" s="29">
        <f t="shared" si="52"/>
        <v>0</v>
      </c>
      <c r="BW67" s="29">
        <f t="shared" si="52"/>
        <v>0</v>
      </c>
      <c r="BX67" s="31">
        <f t="shared" si="49"/>
        <v>0.68829051744000003</v>
      </c>
      <c r="BY67" s="31">
        <v>0</v>
      </c>
      <c r="BZ67" s="52" t="s">
        <v>146</v>
      </c>
    </row>
    <row r="68" spans="1:78" s="13" customFormat="1" ht="63" customHeight="1" x14ac:dyDescent="0.25">
      <c r="A68" s="34" t="s">
        <v>137</v>
      </c>
      <c r="B68" s="30" t="s">
        <v>167</v>
      </c>
      <c r="C68" s="44" t="s">
        <v>208</v>
      </c>
      <c r="D68" s="26" t="s">
        <v>125</v>
      </c>
      <c r="E68" s="26">
        <v>2026</v>
      </c>
      <c r="F68" s="26">
        <v>2026</v>
      </c>
      <c r="G68" s="26"/>
      <c r="H68" s="29">
        <f>1.64649469*1.2</f>
        <v>1.9757936279999999</v>
      </c>
      <c r="I68" s="29">
        <f>13.29818711*1.2</f>
        <v>15.957824532</v>
      </c>
      <c r="J68" s="32" t="s">
        <v>160</v>
      </c>
      <c r="K68" s="26" t="s">
        <v>117</v>
      </c>
      <c r="L68" s="29">
        <v>0</v>
      </c>
      <c r="M68" s="29">
        <f>95412.33/1000</f>
        <v>95.412329999999997</v>
      </c>
      <c r="N68" s="29">
        <f>104591.75944464/1000</f>
        <v>104.59175944464</v>
      </c>
      <c r="O68" s="29">
        <f>AQ68</f>
        <v>18.420228953819997</v>
      </c>
      <c r="P68" s="29">
        <f t="shared" si="46"/>
        <v>18.420228953819997</v>
      </c>
      <c r="Q68" s="29">
        <f t="shared" si="47"/>
        <v>18.420228953819997</v>
      </c>
      <c r="R68" s="29">
        <f>Q68</f>
        <v>18.420228953819997</v>
      </c>
      <c r="S68" s="29">
        <f>R68</f>
        <v>18.420228953819997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31">
        <v>0</v>
      </c>
      <c r="AJ68" s="31">
        <v>0</v>
      </c>
      <c r="AK68" s="31">
        <v>0</v>
      </c>
      <c r="AL68" s="31"/>
      <c r="AM68" s="31"/>
      <c r="AN68" s="31"/>
      <c r="AO68" s="31"/>
      <c r="AP68" s="31"/>
      <c r="AQ68" s="31">
        <f>AT68</f>
        <v>18.420228953819997</v>
      </c>
      <c r="AR68" s="31">
        <v>0</v>
      </c>
      <c r="AS68" s="31">
        <v>0</v>
      </c>
      <c r="AT68" s="31">
        <f>18420.22895382/1000</f>
        <v>18.420228953819997</v>
      </c>
      <c r="AU68" s="31">
        <v>0</v>
      </c>
      <c r="AV68" s="31">
        <f t="shared" si="44"/>
        <v>0</v>
      </c>
      <c r="AW68" s="31">
        <v>0</v>
      </c>
      <c r="AX68" s="31">
        <v>0</v>
      </c>
      <c r="AY68" s="31">
        <v>0</v>
      </c>
      <c r="AZ68" s="31">
        <v>0</v>
      </c>
      <c r="BA68" s="31">
        <f t="shared" si="51"/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  <c r="BJ68" s="31">
        <v>0</v>
      </c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31">
        <f t="shared" si="48"/>
        <v>18.420228953819997</v>
      </c>
      <c r="BV68" s="29">
        <f t="shared" si="52"/>
        <v>0</v>
      </c>
      <c r="BW68" s="29">
        <f t="shared" si="52"/>
        <v>0</v>
      </c>
      <c r="BX68" s="31">
        <f t="shared" si="49"/>
        <v>18.420228953819997</v>
      </c>
      <c r="BY68" s="31">
        <v>0</v>
      </c>
      <c r="BZ68" s="52" t="s">
        <v>146</v>
      </c>
    </row>
    <row r="69" spans="1:78" s="13" customFormat="1" ht="70.5" customHeight="1" x14ac:dyDescent="0.25">
      <c r="A69" s="34" t="s">
        <v>138</v>
      </c>
      <c r="B69" s="30" t="s">
        <v>168</v>
      </c>
      <c r="C69" s="44" t="s">
        <v>209</v>
      </c>
      <c r="D69" s="26" t="s">
        <v>125</v>
      </c>
      <c r="E69" s="26">
        <v>2026</v>
      </c>
      <c r="F69" s="26">
        <v>2026</v>
      </c>
      <c r="G69" s="26"/>
      <c r="H69" s="29">
        <f>1.02124476*1.065*1.2</f>
        <v>1.3051508032799999</v>
      </c>
      <c r="I69" s="29">
        <v>9.860757689519998</v>
      </c>
      <c r="J69" s="32" t="s">
        <v>160</v>
      </c>
      <c r="K69" s="26" t="s">
        <v>117</v>
      </c>
      <c r="L69" s="29">
        <v>0</v>
      </c>
      <c r="M69" s="29">
        <f>24644.23488/1000</f>
        <v>24.644234879999999</v>
      </c>
      <c r="N69" s="29">
        <f>27015.207429335/1000</f>
        <v>27.015207429335</v>
      </c>
      <c r="O69" s="29">
        <f>AQ69</f>
        <v>11.382341869620001</v>
      </c>
      <c r="P69" s="29">
        <f t="shared" si="46"/>
        <v>11.382341869620001</v>
      </c>
      <c r="Q69" s="29">
        <f t="shared" si="47"/>
        <v>11.382341869620001</v>
      </c>
      <c r="R69" s="29">
        <f>Q69</f>
        <v>11.382341869620001</v>
      </c>
      <c r="S69" s="29">
        <f>R69</f>
        <v>11.382341869620001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  <c r="AG69" s="29">
        <v>0</v>
      </c>
      <c r="AH69" s="29">
        <v>0</v>
      </c>
      <c r="AI69" s="31">
        <v>0</v>
      </c>
      <c r="AJ69" s="31">
        <v>0</v>
      </c>
      <c r="AK69" s="31">
        <v>0</v>
      </c>
      <c r="AL69" s="31"/>
      <c r="AM69" s="31"/>
      <c r="AN69" s="31"/>
      <c r="AO69" s="31"/>
      <c r="AP69" s="31"/>
      <c r="AQ69" s="31">
        <f>AT69</f>
        <v>11.382341869620001</v>
      </c>
      <c r="AR69" s="31">
        <v>0</v>
      </c>
      <c r="AS69" s="31">
        <v>0</v>
      </c>
      <c r="AT69" s="31">
        <f>11382.34186962/1000</f>
        <v>11.382341869620001</v>
      </c>
      <c r="AU69" s="31">
        <v>0</v>
      </c>
      <c r="AV69" s="31">
        <f t="shared" si="44"/>
        <v>0</v>
      </c>
      <c r="AW69" s="31">
        <v>0</v>
      </c>
      <c r="AX69" s="31">
        <v>0</v>
      </c>
      <c r="AY69" s="31">
        <v>0</v>
      </c>
      <c r="AZ69" s="31">
        <v>0</v>
      </c>
      <c r="BA69" s="31">
        <f t="shared" si="51"/>
        <v>0</v>
      </c>
      <c r="BB69" s="31">
        <v>0</v>
      </c>
      <c r="BC69" s="31">
        <v>0</v>
      </c>
      <c r="BD69" s="31">
        <v>0</v>
      </c>
      <c r="BE69" s="31">
        <v>0</v>
      </c>
      <c r="BF69" s="31">
        <v>0</v>
      </c>
      <c r="BG69" s="31">
        <v>0</v>
      </c>
      <c r="BH69" s="31">
        <v>0</v>
      </c>
      <c r="BI69" s="31">
        <v>0</v>
      </c>
      <c r="BJ69" s="31">
        <v>0</v>
      </c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31">
        <f t="shared" si="48"/>
        <v>11.382341869620001</v>
      </c>
      <c r="BV69" s="29">
        <v>0</v>
      </c>
      <c r="BW69" s="29">
        <v>0</v>
      </c>
      <c r="BX69" s="31">
        <f t="shared" si="49"/>
        <v>11.382341869620001</v>
      </c>
      <c r="BY69" s="31">
        <v>0</v>
      </c>
      <c r="BZ69" s="52" t="s">
        <v>146</v>
      </c>
    </row>
    <row r="70" spans="1:78" s="13" customFormat="1" ht="63" x14ac:dyDescent="0.25">
      <c r="A70" s="34" t="s">
        <v>139</v>
      </c>
      <c r="B70" s="30" t="s">
        <v>169</v>
      </c>
      <c r="C70" s="44" t="s">
        <v>210</v>
      </c>
      <c r="D70" s="26" t="s">
        <v>125</v>
      </c>
      <c r="E70" s="26">
        <v>2028</v>
      </c>
      <c r="F70" s="26">
        <v>2028</v>
      </c>
      <c r="G70" s="26"/>
      <c r="H70" s="29">
        <f>5.95543664*1.065*1.2</f>
        <v>7.6110480259199988</v>
      </c>
      <c r="I70" s="29">
        <v>52.387008650459997</v>
      </c>
      <c r="J70" s="32" t="s">
        <v>160</v>
      </c>
      <c r="K70" s="26" t="s">
        <v>117</v>
      </c>
      <c r="L70" s="29">
        <v>0</v>
      </c>
      <c r="M70" s="29">
        <f>77793.33312/1000</f>
        <v>77.79333312</v>
      </c>
      <c r="N70" s="29">
        <f>93303.6676896101/1000</f>
        <v>93.303667689610094</v>
      </c>
      <c r="O70" s="29">
        <f>BA70</f>
        <v>66.161951702279993</v>
      </c>
      <c r="P70" s="29">
        <f t="shared" si="46"/>
        <v>66.161951702279993</v>
      </c>
      <c r="Q70" s="29">
        <f t="shared" si="47"/>
        <v>66.161951702279993</v>
      </c>
      <c r="R70" s="29">
        <f t="shared" ref="R70:U72" si="53">Q70</f>
        <v>66.161951702279993</v>
      </c>
      <c r="S70" s="29">
        <f t="shared" si="53"/>
        <v>66.161951702279993</v>
      </c>
      <c r="T70" s="29">
        <f t="shared" si="53"/>
        <v>66.161951702279993</v>
      </c>
      <c r="U70" s="29">
        <f t="shared" si="53"/>
        <v>66.161951702279993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  <c r="AG70" s="29">
        <v>0</v>
      </c>
      <c r="AH70" s="29">
        <v>0</v>
      </c>
      <c r="AI70" s="29">
        <v>0</v>
      </c>
      <c r="AJ70" s="29">
        <v>0</v>
      </c>
      <c r="AK70" s="29">
        <v>0</v>
      </c>
      <c r="AL70" s="29">
        <v>0</v>
      </c>
      <c r="AM70" s="29">
        <v>0</v>
      </c>
      <c r="AN70" s="29">
        <v>0</v>
      </c>
      <c r="AO70" s="29">
        <v>0</v>
      </c>
      <c r="AP70" s="29">
        <v>0</v>
      </c>
      <c r="AQ70" s="29">
        <v>0</v>
      </c>
      <c r="AR70" s="29">
        <v>0</v>
      </c>
      <c r="AS70" s="29">
        <v>0</v>
      </c>
      <c r="AT70" s="29">
        <v>0</v>
      </c>
      <c r="AU70" s="29">
        <v>0</v>
      </c>
      <c r="AV70" s="31">
        <f t="shared" si="44"/>
        <v>0</v>
      </c>
      <c r="AW70" s="29">
        <v>0</v>
      </c>
      <c r="AX70" s="29">
        <v>0</v>
      </c>
      <c r="AY70" s="29">
        <v>0</v>
      </c>
      <c r="AZ70" s="29">
        <v>0</v>
      </c>
      <c r="BA70" s="29">
        <f t="shared" si="51"/>
        <v>66.161951702279993</v>
      </c>
      <c r="BB70" s="29">
        <v>0</v>
      </c>
      <c r="BC70" s="29">
        <v>0</v>
      </c>
      <c r="BD70" s="29">
        <f>66161.95170228/1000</f>
        <v>66.161951702279993</v>
      </c>
      <c r="BE70" s="29">
        <v>0</v>
      </c>
      <c r="BF70" s="29">
        <f>BI70</f>
        <v>0</v>
      </c>
      <c r="BG70" s="31">
        <v>0</v>
      </c>
      <c r="BH70" s="31">
        <v>0</v>
      </c>
      <c r="BI70" s="29">
        <v>0</v>
      </c>
      <c r="BJ70" s="31">
        <v>0</v>
      </c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31">
        <f t="shared" si="48"/>
        <v>66.161951702279993</v>
      </c>
      <c r="BV70" s="29">
        <v>0</v>
      </c>
      <c r="BW70" s="29">
        <v>0</v>
      </c>
      <c r="BX70" s="31">
        <f t="shared" si="49"/>
        <v>66.161951702279993</v>
      </c>
      <c r="BY70" s="31">
        <v>0</v>
      </c>
      <c r="BZ70" s="52" t="s">
        <v>146</v>
      </c>
    </row>
    <row r="71" spans="1:78" s="13" customFormat="1" ht="84.75" customHeight="1" x14ac:dyDescent="0.25">
      <c r="A71" s="34" t="s">
        <v>140</v>
      </c>
      <c r="B71" s="30" t="s">
        <v>170</v>
      </c>
      <c r="C71" s="44" t="s">
        <v>211</v>
      </c>
      <c r="D71" s="26" t="s">
        <v>125</v>
      </c>
      <c r="E71" s="26">
        <v>2029</v>
      </c>
      <c r="F71" s="26">
        <v>2029</v>
      </c>
      <c r="G71" s="26"/>
      <c r="H71" s="29">
        <f>5.10255498*1.2</f>
        <v>6.1230659759999995</v>
      </c>
      <c r="I71" s="29">
        <f>35.23496264*1.2</f>
        <v>42.281955167999996</v>
      </c>
      <c r="J71" s="32" t="s">
        <v>160</v>
      </c>
      <c r="K71" s="26" t="s">
        <v>117</v>
      </c>
      <c r="L71" s="29">
        <v>0</v>
      </c>
      <c r="M71" s="29">
        <f>69201.40608/1000</f>
        <v>69.201406079999998</v>
      </c>
      <c r="N71" s="29">
        <f>86816.6331935543/1000</f>
        <v>86.816633193554296</v>
      </c>
      <c r="O71" s="29">
        <f>BF71</f>
        <v>55.856208598560002</v>
      </c>
      <c r="P71" s="29">
        <f t="shared" si="46"/>
        <v>55.856208598560002</v>
      </c>
      <c r="Q71" s="29">
        <f t="shared" si="47"/>
        <v>55.856208598560002</v>
      </c>
      <c r="R71" s="29">
        <f t="shared" si="53"/>
        <v>55.856208598560002</v>
      </c>
      <c r="S71" s="29">
        <f t="shared" si="53"/>
        <v>55.856208598560002</v>
      </c>
      <c r="T71" s="29">
        <f t="shared" si="53"/>
        <v>55.856208598560002</v>
      </c>
      <c r="U71" s="29">
        <f t="shared" si="53"/>
        <v>55.856208598560002</v>
      </c>
      <c r="V71" s="29">
        <f>U71</f>
        <v>55.856208598560002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>
        <v>0</v>
      </c>
      <c r="AG71" s="29">
        <f>AJ71</f>
        <v>0</v>
      </c>
      <c r="AH71" s="29">
        <v>0</v>
      </c>
      <c r="AI71" s="29">
        <v>0</v>
      </c>
      <c r="AJ71" s="31">
        <v>0</v>
      </c>
      <c r="AK71" s="31">
        <v>0</v>
      </c>
      <c r="AL71" s="31"/>
      <c r="AM71" s="31"/>
      <c r="AN71" s="31"/>
      <c r="AO71" s="31"/>
      <c r="AP71" s="31"/>
      <c r="AQ71" s="31">
        <f>AT71</f>
        <v>0</v>
      </c>
      <c r="AR71" s="31">
        <v>0</v>
      </c>
      <c r="AS71" s="31">
        <v>0</v>
      </c>
      <c r="AT71" s="31">
        <v>0</v>
      </c>
      <c r="AU71" s="29">
        <v>0</v>
      </c>
      <c r="AV71" s="31">
        <f t="shared" si="44"/>
        <v>0</v>
      </c>
      <c r="AW71" s="31">
        <v>0</v>
      </c>
      <c r="AX71" s="31">
        <v>0</v>
      </c>
      <c r="AY71" s="31">
        <v>0</v>
      </c>
      <c r="AZ71" s="31">
        <v>0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  <c r="BF71" s="31">
        <f>BI71</f>
        <v>55.856208598560002</v>
      </c>
      <c r="BG71" s="31">
        <v>0</v>
      </c>
      <c r="BH71" s="31">
        <v>0</v>
      </c>
      <c r="BI71" s="31">
        <f>55856.20859856/1000</f>
        <v>55.856208598560002</v>
      </c>
      <c r="BJ71" s="31">
        <v>0</v>
      </c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31">
        <f t="shared" si="48"/>
        <v>55.856208598560002</v>
      </c>
      <c r="BV71" s="29">
        <v>0</v>
      </c>
      <c r="BW71" s="29">
        <v>0</v>
      </c>
      <c r="BX71" s="31">
        <f t="shared" si="49"/>
        <v>55.856208598560002</v>
      </c>
      <c r="BY71" s="31">
        <v>0</v>
      </c>
      <c r="BZ71" s="52" t="s">
        <v>146</v>
      </c>
    </row>
    <row r="72" spans="1:78" s="13" customFormat="1" ht="63" x14ac:dyDescent="0.25">
      <c r="A72" s="34" t="s">
        <v>141</v>
      </c>
      <c r="B72" s="30" t="s">
        <v>171</v>
      </c>
      <c r="C72" s="44" t="s">
        <v>212</v>
      </c>
      <c r="D72" s="26" t="s">
        <v>125</v>
      </c>
      <c r="E72" s="26">
        <v>2029</v>
      </c>
      <c r="F72" s="26">
        <v>2029</v>
      </c>
      <c r="G72" s="26"/>
      <c r="H72" s="29">
        <v>6.1230659759999995</v>
      </c>
      <c r="I72" s="29">
        <v>42.281955167999996</v>
      </c>
      <c r="J72" s="32" t="s">
        <v>160</v>
      </c>
      <c r="K72" s="26" t="s">
        <v>117</v>
      </c>
      <c r="L72" s="29">
        <v>0</v>
      </c>
      <c r="M72" s="29">
        <f>69201.40608/1000</f>
        <v>69.201406079999998</v>
      </c>
      <c r="N72" s="29">
        <f>86816.6331935543/1000</f>
        <v>86.816633193554296</v>
      </c>
      <c r="O72" s="29">
        <f>BF72</f>
        <v>55.856208598560002</v>
      </c>
      <c r="P72" s="29">
        <f t="shared" si="46"/>
        <v>55.856208598560002</v>
      </c>
      <c r="Q72" s="29">
        <f t="shared" si="47"/>
        <v>55.856208598560002</v>
      </c>
      <c r="R72" s="29">
        <f t="shared" si="53"/>
        <v>55.856208598560002</v>
      </c>
      <c r="S72" s="29">
        <f t="shared" si="53"/>
        <v>55.856208598560002</v>
      </c>
      <c r="T72" s="29">
        <f t="shared" si="53"/>
        <v>55.856208598560002</v>
      </c>
      <c r="U72" s="29">
        <f t="shared" si="53"/>
        <v>55.856208598560002</v>
      </c>
      <c r="V72" s="29">
        <f>U72</f>
        <v>55.856208598560002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  <c r="AG72" s="29">
        <f>AJ72</f>
        <v>0</v>
      </c>
      <c r="AH72" s="29">
        <v>0</v>
      </c>
      <c r="AI72" s="29">
        <v>0</v>
      </c>
      <c r="AJ72" s="31">
        <v>0</v>
      </c>
      <c r="AK72" s="31">
        <v>0</v>
      </c>
      <c r="AL72" s="31"/>
      <c r="AM72" s="31"/>
      <c r="AN72" s="31"/>
      <c r="AO72" s="31"/>
      <c r="AP72" s="31"/>
      <c r="AQ72" s="31">
        <v>0</v>
      </c>
      <c r="AR72" s="31">
        <v>0</v>
      </c>
      <c r="AS72" s="31">
        <v>0</v>
      </c>
      <c r="AT72" s="31">
        <v>0</v>
      </c>
      <c r="AU72" s="31">
        <v>0</v>
      </c>
      <c r="AV72" s="31">
        <f t="shared" si="44"/>
        <v>0</v>
      </c>
      <c r="AW72" s="31">
        <v>0</v>
      </c>
      <c r="AX72" s="31">
        <v>0</v>
      </c>
      <c r="AY72" s="31">
        <v>0</v>
      </c>
      <c r="AZ72" s="31">
        <v>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  <c r="BF72" s="31">
        <f>BI72</f>
        <v>55.856208598560002</v>
      </c>
      <c r="BG72" s="31">
        <v>0</v>
      </c>
      <c r="BH72" s="31">
        <v>0</v>
      </c>
      <c r="BI72" s="31">
        <v>55.856208598560002</v>
      </c>
      <c r="BJ72" s="31">
        <v>0</v>
      </c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31">
        <f t="shared" si="48"/>
        <v>55.856208598560002</v>
      </c>
      <c r="BV72" s="29">
        <f>BV87</f>
        <v>0</v>
      </c>
      <c r="BW72" s="29">
        <f>BW87</f>
        <v>0</v>
      </c>
      <c r="BX72" s="31">
        <f t="shared" si="49"/>
        <v>55.856208598560002</v>
      </c>
      <c r="BY72" s="31">
        <v>0</v>
      </c>
      <c r="BZ72" s="52" t="s">
        <v>146</v>
      </c>
    </row>
    <row r="73" spans="1:78" s="13" customFormat="1" ht="63" x14ac:dyDescent="0.25">
      <c r="A73" s="34" t="s">
        <v>235</v>
      </c>
      <c r="B73" s="30" t="s">
        <v>233</v>
      </c>
      <c r="C73" s="44" t="s">
        <v>234</v>
      </c>
      <c r="D73" s="26" t="s">
        <v>125</v>
      </c>
      <c r="E73" s="26">
        <v>2024</v>
      </c>
      <c r="F73" s="26">
        <v>2024</v>
      </c>
      <c r="G73" s="26"/>
      <c r="H73" s="29">
        <v>7.9634900000000002</v>
      </c>
      <c r="I73" s="29">
        <v>59.835527489999997</v>
      </c>
      <c r="J73" s="32" t="s">
        <v>160</v>
      </c>
      <c r="K73" s="26" t="s">
        <v>117</v>
      </c>
      <c r="L73" s="29">
        <v>0</v>
      </c>
      <c r="M73" s="29">
        <f>398697.74208/1000</f>
        <v>398.69774208000001</v>
      </c>
      <c r="N73" s="29">
        <f>398697.74208/1000</f>
        <v>398.69774208000001</v>
      </c>
      <c r="O73" s="29">
        <v>63.006810451919996</v>
      </c>
      <c r="P73" s="29">
        <f>O73</f>
        <v>63.006810451919996</v>
      </c>
      <c r="Q73" s="29">
        <f>P73</f>
        <v>63.006810451919996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f t="shared" ref="AB73:AB81" si="54">AE73</f>
        <v>63.006810451919996</v>
      </c>
      <c r="AC73" s="29">
        <v>0</v>
      </c>
      <c r="AD73" s="29">
        <v>0</v>
      </c>
      <c r="AE73" s="29">
        <v>63.006810451919996</v>
      </c>
      <c r="AF73" s="29">
        <v>0</v>
      </c>
      <c r="AG73" s="29">
        <v>0</v>
      </c>
      <c r="AH73" s="29">
        <v>0</v>
      </c>
      <c r="AI73" s="29">
        <v>0</v>
      </c>
      <c r="AJ73" s="29">
        <v>0</v>
      </c>
      <c r="AK73" s="29">
        <v>0</v>
      </c>
      <c r="AL73" s="29">
        <v>0</v>
      </c>
      <c r="AM73" s="29">
        <v>0</v>
      </c>
      <c r="AN73" s="29">
        <v>0</v>
      </c>
      <c r="AO73" s="29">
        <v>0</v>
      </c>
      <c r="AP73" s="29">
        <v>0</v>
      </c>
      <c r="AQ73" s="29">
        <v>0</v>
      </c>
      <c r="AR73" s="29">
        <v>0</v>
      </c>
      <c r="AS73" s="29">
        <v>0</v>
      </c>
      <c r="AT73" s="29">
        <v>0</v>
      </c>
      <c r="AU73" s="29">
        <v>0</v>
      </c>
      <c r="AV73" s="29">
        <v>0</v>
      </c>
      <c r="AW73" s="29">
        <v>0</v>
      </c>
      <c r="AX73" s="29">
        <v>0</v>
      </c>
      <c r="AY73" s="29">
        <v>0</v>
      </c>
      <c r="AZ73" s="29">
        <v>0</v>
      </c>
      <c r="BA73" s="29">
        <v>0</v>
      </c>
      <c r="BB73" s="29">
        <v>0</v>
      </c>
      <c r="BC73" s="29">
        <v>0</v>
      </c>
      <c r="BD73" s="29">
        <v>0</v>
      </c>
      <c r="BE73" s="29">
        <v>0</v>
      </c>
      <c r="BF73" s="29">
        <v>0</v>
      </c>
      <c r="BG73" s="29">
        <v>0</v>
      </c>
      <c r="BH73" s="29">
        <v>0</v>
      </c>
      <c r="BI73" s="29">
        <v>0</v>
      </c>
      <c r="BJ73" s="29">
        <v>0</v>
      </c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31">
        <f t="shared" si="48"/>
        <v>63.006810451919996</v>
      </c>
      <c r="BV73" s="29">
        <v>0</v>
      </c>
      <c r="BW73" s="29">
        <v>0</v>
      </c>
      <c r="BX73" s="31">
        <f t="shared" si="49"/>
        <v>63.006810451919996</v>
      </c>
      <c r="BY73" s="29">
        <v>0</v>
      </c>
      <c r="BZ73" s="53" t="s">
        <v>146</v>
      </c>
    </row>
    <row r="74" spans="1:78" s="13" customFormat="1" ht="102.75" customHeight="1" x14ac:dyDescent="0.25">
      <c r="A74" s="34" t="s">
        <v>236</v>
      </c>
      <c r="B74" s="30" t="s">
        <v>254</v>
      </c>
      <c r="C74" s="44" t="s">
        <v>259</v>
      </c>
      <c r="D74" s="26" t="s">
        <v>125</v>
      </c>
      <c r="E74" s="26">
        <v>2023</v>
      </c>
      <c r="F74" s="26">
        <v>2024</v>
      </c>
      <c r="G74" s="26"/>
      <c r="H74" s="29">
        <v>0.45892976000000002</v>
      </c>
      <c r="I74" s="29">
        <v>4.7041290399999998</v>
      </c>
      <c r="J74" s="32" t="s">
        <v>160</v>
      </c>
      <c r="K74" s="26" t="s">
        <v>117</v>
      </c>
      <c r="L74" s="29">
        <v>0</v>
      </c>
      <c r="M74" s="29">
        <f>81966.44208/1000</f>
        <v>81.966442079999993</v>
      </c>
      <c r="N74" s="29">
        <f>81966.44208/1000</f>
        <v>81.966442079999993</v>
      </c>
      <c r="O74" s="29">
        <f>W74+AB74+AG74+AQ74++AV74+BA74+BF74</f>
        <v>4.9343671260000006</v>
      </c>
      <c r="P74" s="29">
        <f>O74</f>
        <v>4.9343671260000006</v>
      </c>
      <c r="Q74" s="29">
        <f>P74-W74</f>
        <v>4.5743671260000003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f>Z74</f>
        <v>0.36</v>
      </c>
      <c r="X74" s="29">
        <v>0</v>
      </c>
      <c r="Y74" s="29">
        <v>0</v>
      </c>
      <c r="Z74" s="29">
        <v>0.36</v>
      </c>
      <c r="AA74" s="29">
        <v>0</v>
      </c>
      <c r="AB74" s="29">
        <f t="shared" si="54"/>
        <v>4.5743671260000003</v>
      </c>
      <c r="AC74" s="29">
        <v>0</v>
      </c>
      <c r="AD74" s="29">
        <v>0</v>
      </c>
      <c r="AE74" s="29">
        <v>4.5743671260000003</v>
      </c>
      <c r="AF74" s="29">
        <v>0</v>
      </c>
      <c r="AG74" s="29">
        <v>0</v>
      </c>
      <c r="AH74" s="29">
        <v>0</v>
      </c>
      <c r="AI74" s="29">
        <v>0</v>
      </c>
      <c r="AJ74" s="29">
        <v>0</v>
      </c>
      <c r="AK74" s="29">
        <v>0</v>
      </c>
      <c r="AL74" s="29"/>
      <c r="AM74" s="29"/>
      <c r="AN74" s="29"/>
      <c r="AO74" s="29"/>
      <c r="AP74" s="29"/>
      <c r="AQ74" s="29">
        <v>0</v>
      </c>
      <c r="AR74" s="29">
        <v>0</v>
      </c>
      <c r="AS74" s="29">
        <v>0</v>
      </c>
      <c r="AT74" s="29">
        <v>0</v>
      </c>
      <c r="AU74" s="29">
        <v>0</v>
      </c>
      <c r="AV74" s="29">
        <v>0</v>
      </c>
      <c r="AW74" s="29">
        <v>0</v>
      </c>
      <c r="AX74" s="29">
        <v>0</v>
      </c>
      <c r="AY74" s="29">
        <v>0</v>
      </c>
      <c r="AZ74" s="29">
        <v>0</v>
      </c>
      <c r="BA74" s="29">
        <v>0</v>
      </c>
      <c r="BB74" s="29">
        <v>0</v>
      </c>
      <c r="BC74" s="29">
        <v>0</v>
      </c>
      <c r="BD74" s="29">
        <v>0</v>
      </c>
      <c r="BE74" s="29">
        <v>0</v>
      </c>
      <c r="BF74" s="29">
        <v>0</v>
      </c>
      <c r="BG74" s="29">
        <v>0</v>
      </c>
      <c r="BH74" s="29">
        <v>0</v>
      </c>
      <c r="BI74" s="29">
        <v>0</v>
      </c>
      <c r="BJ74" s="29">
        <v>0</v>
      </c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31">
        <f t="shared" si="48"/>
        <v>4.5743671260000003</v>
      </c>
      <c r="BV74" s="29">
        <v>0</v>
      </c>
      <c r="BW74" s="29">
        <v>0</v>
      </c>
      <c r="BX74" s="31">
        <f t="shared" si="49"/>
        <v>4.5743671260000003</v>
      </c>
      <c r="BY74" s="29">
        <v>0</v>
      </c>
      <c r="BZ74" s="53" t="s">
        <v>146</v>
      </c>
    </row>
    <row r="75" spans="1:78" s="13" customFormat="1" ht="65.25" customHeight="1" x14ac:dyDescent="0.25">
      <c r="A75" s="34" t="s">
        <v>237</v>
      </c>
      <c r="B75" s="30" t="s">
        <v>255</v>
      </c>
      <c r="C75" s="44" t="s">
        <v>258</v>
      </c>
      <c r="D75" s="26" t="s">
        <v>125</v>
      </c>
      <c r="E75" s="26">
        <v>2022</v>
      </c>
      <c r="F75" s="26">
        <v>2024</v>
      </c>
      <c r="G75" s="26"/>
      <c r="H75" s="29">
        <v>5.0890668999999997</v>
      </c>
      <c r="I75" s="29">
        <v>36.7053996</v>
      </c>
      <c r="J75" s="32" t="s">
        <v>160</v>
      </c>
      <c r="K75" s="26" t="s">
        <v>117</v>
      </c>
      <c r="L75" s="29">
        <v>1.32</v>
      </c>
      <c r="M75" s="29">
        <f>185330.592/1000</f>
        <v>185.330592</v>
      </c>
      <c r="N75" s="29">
        <f>185330.592/1000</f>
        <v>185.330592</v>
      </c>
      <c r="O75" s="29">
        <f>L75+BU75</f>
        <v>41.002779263999997</v>
      </c>
      <c r="P75" s="29">
        <f>AB75</f>
        <v>39.682779263999997</v>
      </c>
      <c r="Q75" s="29">
        <f>P75</f>
        <v>39.682779263999997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f t="shared" si="54"/>
        <v>39.682779263999997</v>
      </c>
      <c r="AC75" s="29">
        <v>0</v>
      </c>
      <c r="AD75" s="29">
        <v>0</v>
      </c>
      <c r="AE75" s="29">
        <v>39.682779263999997</v>
      </c>
      <c r="AF75" s="29">
        <v>0</v>
      </c>
      <c r="AG75" s="29">
        <v>0</v>
      </c>
      <c r="AH75" s="29">
        <v>0</v>
      </c>
      <c r="AI75" s="29">
        <v>0</v>
      </c>
      <c r="AJ75" s="29">
        <v>0</v>
      </c>
      <c r="AK75" s="29">
        <v>0</v>
      </c>
      <c r="AL75" s="29"/>
      <c r="AM75" s="29"/>
      <c r="AN75" s="29"/>
      <c r="AO75" s="29"/>
      <c r="AP75" s="29"/>
      <c r="AQ75" s="29">
        <v>0</v>
      </c>
      <c r="AR75" s="29">
        <v>0</v>
      </c>
      <c r="AS75" s="29">
        <v>0</v>
      </c>
      <c r="AT75" s="29">
        <v>0</v>
      </c>
      <c r="AU75" s="29">
        <v>0</v>
      </c>
      <c r="AV75" s="29">
        <v>0</v>
      </c>
      <c r="AW75" s="29">
        <v>0</v>
      </c>
      <c r="AX75" s="29">
        <v>0</v>
      </c>
      <c r="AY75" s="29">
        <v>0</v>
      </c>
      <c r="AZ75" s="29">
        <v>0</v>
      </c>
      <c r="BA75" s="29">
        <v>0</v>
      </c>
      <c r="BB75" s="29">
        <v>0</v>
      </c>
      <c r="BC75" s="29">
        <v>0</v>
      </c>
      <c r="BD75" s="29">
        <v>0</v>
      </c>
      <c r="BE75" s="29">
        <v>0</v>
      </c>
      <c r="BF75" s="29">
        <v>0</v>
      </c>
      <c r="BG75" s="29">
        <v>0</v>
      </c>
      <c r="BH75" s="29">
        <v>0</v>
      </c>
      <c r="BI75" s="29">
        <v>0</v>
      </c>
      <c r="BJ75" s="29">
        <v>0</v>
      </c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31">
        <f t="shared" si="48"/>
        <v>39.682779263999997</v>
      </c>
      <c r="BV75" s="29">
        <v>0</v>
      </c>
      <c r="BW75" s="29">
        <v>0</v>
      </c>
      <c r="BX75" s="31">
        <f t="shared" si="49"/>
        <v>39.682779263999997</v>
      </c>
      <c r="BY75" s="29">
        <v>0</v>
      </c>
      <c r="BZ75" s="53" t="s">
        <v>146</v>
      </c>
    </row>
    <row r="76" spans="1:78" s="13" customFormat="1" ht="63" x14ac:dyDescent="0.25">
      <c r="A76" s="34" t="s">
        <v>238</v>
      </c>
      <c r="B76" s="30" t="s">
        <v>244</v>
      </c>
      <c r="C76" s="44" t="s">
        <v>250</v>
      </c>
      <c r="D76" s="26" t="s">
        <v>125</v>
      </c>
      <c r="E76" s="26">
        <v>2024</v>
      </c>
      <c r="F76" s="26">
        <v>2024</v>
      </c>
      <c r="G76" s="26"/>
      <c r="H76" s="29">
        <v>0.11044180000000001</v>
      </c>
      <c r="I76" s="29">
        <f>0.70085094*1.2</f>
        <v>0.84102112800000006</v>
      </c>
      <c r="J76" s="32" t="s">
        <v>160</v>
      </c>
      <c r="K76" s="26" t="s">
        <v>117</v>
      </c>
      <c r="L76" s="29">
        <v>0</v>
      </c>
      <c r="M76" s="29">
        <f>2180.83572/1000</f>
        <v>2.1808357200000001</v>
      </c>
      <c r="N76" s="29">
        <f>2180.83572/1000</f>
        <v>2.1808357200000001</v>
      </c>
      <c r="O76" s="29">
        <f>L76+BU76</f>
        <v>0.88559521199999991</v>
      </c>
      <c r="P76" s="29">
        <f>O76</f>
        <v>0.88559521199999991</v>
      </c>
      <c r="Q76" s="29">
        <f>P76</f>
        <v>0.88559521199999991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f t="shared" si="54"/>
        <v>0.88559521199999991</v>
      </c>
      <c r="AC76" s="29">
        <v>0</v>
      </c>
      <c r="AD76" s="29">
        <v>0</v>
      </c>
      <c r="AE76" s="29">
        <f>885.595212/1000</f>
        <v>0.88559521199999991</v>
      </c>
      <c r="AF76" s="29">
        <v>0</v>
      </c>
      <c r="AG76" s="29">
        <v>0</v>
      </c>
      <c r="AH76" s="29">
        <v>0</v>
      </c>
      <c r="AI76" s="29">
        <v>0</v>
      </c>
      <c r="AJ76" s="29">
        <v>0</v>
      </c>
      <c r="AK76" s="29">
        <v>0</v>
      </c>
      <c r="AL76" s="29">
        <v>0</v>
      </c>
      <c r="AM76" s="29">
        <v>0</v>
      </c>
      <c r="AN76" s="29">
        <v>0</v>
      </c>
      <c r="AO76" s="29">
        <v>0</v>
      </c>
      <c r="AP76" s="29">
        <v>0</v>
      </c>
      <c r="AQ76" s="29">
        <v>0</v>
      </c>
      <c r="AR76" s="29">
        <v>0</v>
      </c>
      <c r="AS76" s="29">
        <v>0</v>
      </c>
      <c r="AT76" s="29">
        <v>0</v>
      </c>
      <c r="AU76" s="29">
        <v>0</v>
      </c>
      <c r="AV76" s="29">
        <v>0</v>
      </c>
      <c r="AW76" s="29">
        <v>0</v>
      </c>
      <c r="AX76" s="29">
        <v>0</v>
      </c>
      <c r="AY76" s="29">
        <v>0</v>
      </c>
      <c r="AZ76" s="29">
        <v>0</v>
      </c>
      <c r="BA76" s="29">
        <v>0</v>
      </c>
      <c r="BB76" s="29">
        <v>0</v>
      </c>
      <c r="BC76" s="29">
        <v>0</v>
      </c>
      <c r="BD76" s="29">
        <v>0</v>
      </c>
      <c r="BE76" s="29">
        <v>0</v>
      </c>
      <c r="BF76" s="29">
        <v>0</v>
      </c>
      <c r="BG76" s="29">
        <v>0</v>
      </c>
      <c r="BH76" s="29">
        <v>0</v>
      </c>
      <c r="BI76" s="29">
        <v>0</v>
      </c>
      <c r="BJ76" s="29">
        <v>0</v>
      </c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31">
        <f t="shared" si="48"/>
        <v>0.88559521199999991</v>
      </c>
      <c r="BV76" s="29">
        <v>0</v>
      </c>
      <c r="BW76" s="29">
        <v>0</v>
      </c>
      <c r="BX76" s="31">
        <f t="shared" si="49"/>
        <v>0.88559521199999991</v>
      </c>
      <c r="BY76" s="29">
        <v>0</v>
      </c>
      <c r="BZ76" s="53" t="s">
        <v>146</v>
      </c>
    </row>
    <row r="77" spans="1:78" s="13" customFormat="1" ht="39" customHeight="1" x14ac:dyDescent="0.25">
      <c r="A77" s="34" t="s">
        <v>239</v>
      </c>
      <c r="B77" s="30" t="s">
        <v>245</v>
      </c>
      <c r="C77" s="44" t="s">
        <v>251</v>
      </c>
      <c r="D77" s="26" t="s">
        <v>125</v>
      </c>
      <c r="E77" s="26">
        <v>2024</v>
      </c>
      <c r="F77" s="26">
        <v>2024</v>
      </c>
      <c r="G77" s="26"/>
      <c r="H77" s="29">
        <v>0.19083348</v>
      </c>
      <c r="I77" s="29">
        <v>1.37641495</v>
      </c>
      <c r="J77" s="32" t="s">
        <v>160</v>
      </c>
      <c r="K77" s="26" t="s">
        <v>117</v>
      </c>
      <c r="L77" s="29">
        <v>0</v>
      </c>
      <c r="M77" s="29">
        <f>2264.96196/1000</f>
        <v>2.2649619599999999</v>
      </c>
      <c r="N77" s="29">
        <f>2264.96196/1000</f>
        <v>2.2649619599999999</v>
      </c>
      <c r="O77" s="29">
        <f t="shared" ref="O77:O81" si="55">L77+BU77</f>
        <v>1.4493644640000001</v>
      </c>
      <c r="P77" s="29">
        <f t="shared" ref="P77:Q81" si="56">O77</f>
        <v>1.4493644640000001</v>
      </c>
      <c r="Q77" s="29">
        <f t="shared" si="56"/>
        <v>1.4493644640000001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f t="shared" si="54"/>
        <v>1.4493644640000001</v>
      </c>
      <c r="AC77" s="29">
        <v>0</v>
      </c>
      <c r="AD77" s="29">
        <v>0</v>
      </c>
      <c r="AE77" s="29">
        <f>1449.364464/1000</f>
        <v>1.4493644640000001</v>
      </c>
      <c r="AF77" s="29">
        <v>0</v>
      </c>
      <c r="AG77" s="29">
        <v>0</v>
      </c>
      <c r="AH77" s="29">
        <v>0</v>
      </c>
      <c r="AI77" s="29">
        <v>0</v>
      </c>
      <c r="AJ77" s="29">
        <v>0</v>
      </c>
      <c r="AK77" s="29">
        <v>0</v>
      </c>
      <c r="AL77" s="29">
        <v>0</v>
      </c>
      <c r="AM77" s="29">
        <v>0</v>
      </c>
      <c r="AN77" s="29">
        <v>0</v>
      </c>
      <c r="AO77" s="29">
        <v>0</v>
      </c>
      <c r="AP77" s="29">
        <v>0</v>
      </c>
      <c r="AQ77" s="29">
        <v>0</v>
      </c>
      <c r="AR77" s="29">
        <v>0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v>0</v>
      </c>
      <c r="AZ77" s="29">
        <v>0</v>
      </c>
      <c r="BA77" s="29">
        <v>0</v>
      </c>
      <c r="BB77" s="29">
        <v>0</v>
      </c>
      <c r="BC77" s="29">
        <v>0</v>
      </c>
      <c r="BD77" s="29">
        <v>0</v>
      </c>
      <c r="BE77" s="29">
        <v>0</v>
      </c>
      <c r="BF77" s="29">
        <v>0</v>
      </c>
      <c r="BG77" s="29">
        <v>0</v>
      </c>
      <c r="BH77" s="29">
        <v>0</v>
      </c>
      <c r="BI77" s="29">
        <v>0</v>
      </c>
      <c r="BJ77" s="29">
        <v>0</v>
      </c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31">
        <f t="shared" si="48"/>
        <v>1.4493644640000001</v>
      </c>
      <c r="BV77" s="29">
        <v>0</v>
      </c>
      <c r="BW77" s="29">
        <v>0</v>
      </c>
      <c r="BX77" s="31">
        <f t="shared" si="49"/>
        <v>1.4493644640000001</v>
      </c>
      <c r="BY77" s="29">
        <v>0</v>
      </c>
      <c r="BZ77" s="53" t="s">
        <v>146</v>
      </c>
    </row>
    <row r="78" spans="1:78" s="13" customFormat="1" ht="51" customHeight="1" x14ac:dyDescent="0.25">
      <c r="A78" s="34" t="s">
        <v>240</v>
      </c>
      <c r="B78" s="30" t="s">
        <v>246</v>
      </c>
      <c r="C78" s="44" t="s">
        <v>252</v>
      </c>
      <c r="D78" s="26" t="s">
        <v>125</v>
      </c>
      <c r="E78" s="26">
        <v>2024</v>
      </c>
      <c r="F78" s="26">
        <v>2024</v>
      </c>
      <c r="G78" s="26"/>
      <c r="H78" s="29">
        <v>0.19083348</v>
      </c>
      <c r="I78" s="29">
        <v>1.37641495</v>
      </c>
      <c r="J78" s="32" t="s">
        <v>160</v>
      </c>
      <c r="K78" s="26" t="s">
        <v>117</v>
      </c>
      <c r="L78" s="29">
        <v>0</v>
      </c>
      <c r="M78" s="29">
        <f>2264.96196/1000</f>
        <v>2.2649619599999999</v>
      </c>
      <c r="N78" s="29">
        <f>2264.96196/1000</f>
        <v>2.2649619599999999</v>
      </c>
      <c r="O78" s="29">
        <f t="shared" si="55"/>
        <v>1.4493644640000001</v>
      </c>
      <c r="P78" s="29">
        <f t="shared" si="56"/>
        <v>1.4493644640000001</v>
      </c>
      <c r="Q78" s="29">
        <f t="shared" si="56"/>
        <v>1.4493644640000001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f t="shared" si="54"/>
        <v>1.4493644640000001</v>
      </c>
      <c r="AC78" s="29">
        <v>0</v>
      </c>
      <c r="AD78" s="29">
        <v>0</v>
      </c>
      <c r="AE78" s="29">
        <v>1.4493644640000001</v>
      </c>
      <c r="AF78" s="29">
        <v>0</v>
      </c>
      <c r="AG78" s="29">
        <v>0</v>
      </c>
      <c r="AH78" s="29">
        <v>0</v>
      </c>
      <c r="AI78" s="29">
        <v>0</v>
      </c>
      <c r="AJ78" s="29">
        <v>0</v>
      </c>
      <c r="AK78" s="29">
        <v>0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29">
        <v>0</v>
      </c>
      <c r="AV78" s="29">
        <v>0</v>
      </c>
      <c r="AW78" s="29">
        <v>0</v>
      </c>
      <c r="AX78" s="29">
        <v>0</v>
      </c>
      <c r="AY78" s="29">
        <v>0</v>
      </c>
      <c r="AZ78" s="29">
        <v>0</v>
      </c>
      <c r="BA78" s="29">
        <v>0</v>
      </c>
      <c r="BB78" s="29">
        <v>0</v>
      </c>
      <c r="BC78" s="29">
        <v>0</v>
      </c>
      <c r="BD78" s="29">
        <v>0</v>
      </c>
      <c r="BE78" s="29">
        <v>0</v>
      </c>
      <c r="BF78" s="29">
        <v>0</v>
      </c>
      <c r="BG78" s="29">
        <v>0</v>
      </c>
      <c r="BH78" s="29">
        <v>0</v>
      </c>
      <c r="BI78" s="29">
        <v>0</v>
      </c>
      <c r="BJ78" s="29">
        <v>0</v>
      </c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31">
        <f t="shared" si="48"/>
        <v>1.4493644640000001</v>
      </c>
      <c r="BV78" s="29">
        <v>0</v>
      </c>
      <c r="BW78" s="29">
        <v>0</v>
      </c>
      <c r="BX78" s="31">
        <f t="shared" si="49"/>
        <v>1.4493644640000001</v>
      </c>
      <c r="BY78" s="29">
        <v>0</v>
      </c>
      <c r="BZ78" s="53" t="s">
        <v>146</v>
      </c>
    </row>
    <row r="79" spans="1:78" s="13" customFormat="1" ht="54.75" customHeight="1" x14ac:dyDescent="0.25">
      <c r="A79" s="34" t="s">
        <v>241</v>
      </c>
      <c r="B79" s="30" t="s">
        <v>247</v>
      </c>
      <c r="C79" s="44" t="s">
        <v>253</v>
      </c>
      <c r="D79" s="26" t="s">
        <v>125</v>
      </c>
      <c r="E79" s="26">
        <v>2024</v>
      </c>
      <c r="F79" s="26">
        <v>2024</v>
      </c>
      <c r="G79" s="26"/>
      <c r="H79" s="29">
        <v>0.36166049</v>
      </c>
      <c r="I79" s="29">
        <v>2.5298444500000001</v>
      </c>
      <c r="J79" s="32" t="s">
        <v>160</v>
      </c>
      <c r="K79" s="26" t="s">
        <v>117</v>
      </c>
      <c r="L79" s="29">
        <v>0</v>
      </c>
      <c r="M79" s="29">
        <f>9059.5764/1000</f>
        <v>9.0595763999999992</v>
      </c>
      <c r="N79" s="29">
        <f>9059.5764/1000</f>
        <v>9.0595763999999992</v>
      </c>
      <c r="O79" s="29">
        <f t="shared" si="55"/>
        <v>2.6639258219999999</v>
      </c>
      <c r="P79" s="29">
        <f t="shared" si="56"/>
        <v>2.6639258219999999</v>
      </c>
      <c r="Q79" s="29">
        <f t="shared" si="56"/>
        <v>2.6639258219999999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f t="shared" si="54"/>
        <v>2.6639258219999999</v>
      </c>
      <c r="AC79" s="29">
        <v>0</v>
      </c>
      <c r="AD79" s="29">
        <v>0</v>
      </c>
      <c r="AE79" s="29">
        <f>2663.925822/1000</f>
        <v>2.6639258219999999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0</v>
      </c>
      <c r="AW79" s="29">
        <v>0</v>
      </c>
      <c r="AX79" s="29">
        <v>0</v>
      </c>
      <c r="AY79" s="29">
        <v>0</v>
      </c>
      <c r="AZ79" s="29">
        <v>0</v>
      </c>
      <c r="BA79" s="29">
        <v>0</v>
      </c>
      <c r="BB79" s="29">
        <v>0</v>
      </c>
      <c r="BC79" s="29">
        <v>0</v>
      </c>
      <c r="BD79" s="29">
        <v>0</v>
      </c>
      <c r="BE79" s="29">
        <v>0</v>
      </c>
      <c r="BF79" s="29">
        <v>0</v>
      </c>
      <c r="BG79" s="29">
        <v>0</v>
      </c>
      <c r="BH79" s="29">
        <v>0</v>
      </c>
      <c r="BI79" s="29">
        <v>0</v>
      </c>
      <c r="BJ79" s="29">
        <v>0</v>
      </c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31">
        <f t="shared" si="48"/>
        <v>2.6639258219999999</v>
      </c>
      <c r="BV79" s="29">
        <v>0</v>
      </c>
      <c r="BW79" s="29">
        <v>0</v>
      </c>
      <c r="BX79" s="31">
        <f t="shared" si="49"/>
        <v>2.6639258219999999</v>
      </c>
      <c r="BY79" s="29">
        <v>0</v>
      </c>
      <c r="BZ79" s="53" t="s">
        <v>146</v>
      </c>
    </row>
    <row r="80" spans="1:78" s="13" customFormat="1" ht="69" customHeight="1" x14ac:dyDescent="0.25">
      <c r="A80" s="34" t="s">
        <v>242</v>
      </c>
      <c r="B80" s="30" t="s">
        <v>248</v>
      </c>
      <c r="C80" s="44" t="s">
        <v>256</v>
      </c>
      <c r="D80" s="26" t="s">
        <v>125</v>
      </c>
      <c r="E80" s="26">
        <v>2024</v>
      </c>
      <c r="F80" s="26">
        <v>2024</v>
      </c>
      <c r="G80" s="26"/>
      <c r="H80" s="29">
        <v>0.26618317000000002</v>
      </c>
      <c r="I80" s="29">
        <v>1.9485959900000001</v>
      </c>
      <c r="J80" s="32" t="s">
        <v>160</v>
      </c>
      <c r="K80" s="26" t="s">
        <v>117</v>
      </c>
      <c r="L80" s="29">
        <v>0</v>
      </c>
      <c r="M80" s="29">
        <f>4163.46048/1000</f>
        <v>4.1634604799999995</v>
      </c>
      <c r="N80" s="29">
        <f>4163.46048/1000</f>
        <v>4.1634604799999995</v>
      </c>
      <c r="O80" s="29">
        <f t="shared" si="55"/>
        <v>2.051872452</v>
      </c>
      <c r="P80" s="29">
        <f t="shared" si="56"/>
        <v>2.051872452</v>
      </c>
      <c r="Q80" s="29">
        <f t="shared" si="56"/>
        <v>2.051872452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f t="shared" si="54"/>
        <v>2.051872452</v>
      </c>
      <c r="AC80" s="29">
        <v>0</v>
      </c>
      <c r="AD80" s="29">
        <v>0</v>
      </c>
      <c r="AE80" s="29">
        <f>2051.872452/1000</f>
        <v>2.051872452</v>
      </c>
      <c r="AF80" s="29">
        <v>0</v>
      </c>
      <c r="AG80" s="29">
        <v>0</v>
      </c>
      <c r="AH80" s="29">
        <v>0</v>
      </c>
      <c r="AI80" s="29">
        <v>0</v>
      </c>
      <c r="AJ80" s="29">
        <v>0</v>
      </c>
      <c r="AK80" s="29">
        <v>0</v>
      </c>
      <c r="AL80" s="29">
        <v>0</v>
      </c>
      <c r="AM80" s="29">
        <v>0</v>
      </c>
      <c r="AN80" s="29">
        <v>0</v>
      </c>
      <c r="AO80" s="29">
        <v>0</v>
      </c>
      <c r="AP80" s="29">
        <v>0</v>
      </c>
      <c r="AQ80" s="29">
        <v>0</v>
      </c>
      <c r="AR80" s="29">
        <v>0</v>
      </c>
      <c r="AS80" s="29">
        <v>0</v>
      </c>
      <c r="AT80" s="29">
        <v>0</v>
      </c>
      <c r="AU80" s="29">
        <v>0</v>
      </c>
      <c r="AV80" s="29">
        <v>0</v>
      </c>
      <c r="AW80" s="29">
        <v>0</v>
      </c>
      <c r="AX80" s="29">
        <v>0</v>
      </c>
      <c r="AY80" s="29">
        <v>0</v>
      </c>
      <c r="AZ80" s="29">
        <v>0</v>
      </c>
      <c r="BA80" s="29">
        <v>0</v>
      </c>
      <c r="BB80" s="29">
        <v>0</v>
      </c>
      <c r="BC80" s="29">
        <v>0</v>
      </c>
      <c r="BD80" s="29">
        <v>0</v>
      </c>
      <c r="BE80" s="29">
        <v>0</v>
      </c>
      <c r="BF80" s="29">
        <v>0</v>
      </c>
      <c r="BG80" s="29">
        <v>0</v>
      </c>
      <c r="BH80" s="29">
        <v>0</v>
      </c>
      <c r="BI80" s="29">
        <v>0</v>
      </c>
      <c r="BJ80" s="29">
        <v>0</v>
      </c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31">
        <f t="shared" si="48"/>
        <v>2.051872452</v>
      </c>
      <c r="BV80" s="29">
        <v>0</v>
      </c>
      <c r="BW80" s="29">
        <v>0</v>
      </c>
      <c r="BX80" s="31">
        <f t="shared" si="49"/>
        <v>2.051872452</v>
      </c>
      <c r="BY80" s="29">
        <v>0</v>
      </c>
      <c r="BZ80" s="53" t="s">
        <v>146</v>
      </c>
    </row>
    <row r="81" spans="1:78" s="13" customFormat="1" ht="74.25" customHeight="1" x14ac:dyDescent="0.25">
      <c r="A81" s="34" t="s">
        <v>243</v>
      </c>
      <c r="B81" s="30" t="s">
        <v>249</v>
      </c>
      <c r="C81" s="44" t="s">
        <v>257</v>
      </c>
      <c r="D81" s="26" t="s">
        <v>125</v>
      </c>
      <c r="E81" s="26">
        <v>2024</v>
      </c>
      <c r="F81" s="26">
        <v>2024</v>
      </c>
      <c r="G81" s="26"/>
      <c r="H81" s="29">
        <v>0.34211698000000001</v>
      </c>
      <c r="I81" s="29">
        <v>2.4786324400000002</v>
      </c>
      <c r="J81" s="32" t="s">
        <v>160</v>
      </c>
      <c r="K81" s="26" t="s">
        <v>117</v>
      </c>
      <c r="L81" s="29">
        <v>0</v>
      </c>
      <c r="M81" s="29">
        <f>4163.46048/1000</f>
        <v>4.1634604799999995</v>
      </c>
      <c r="N81" s="29">
        <f>4163.46048/1000</f>
        <v>4.1634604799999995</v>
      </c>
      <c r="O81" s="29">
        <f t="shared" si="55"/>
        <v>2.6099993340000003</v>
      </c>
      <c r="P81" s="29">
        <f t="shared" si="56"/>
        <v>2.6099993340000003</v>
      </c>
      <c r="Q81" s="29">
        <f t="shared" si="56"/>
        <v>2.6099993340000003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f t="shared" si="54"/>
        <v>2.6099993340000003</v>
      </c>
      <c r="AC81" s="29">
        <v>0</v>
      </c>
      <c r="AD81" s="29">
        <v>0</v>
      </c>
      <c r="AE81" s="29">
        <f>2609.999334/1000</f>
        <v>2.6099993340000003</v>
      </c>
      <c r="AF81" s="29">
        <v>0</v>
      </c>
      <c r="AG81" s="29">
        <v>0</v>
      </c>
      <c r="AH81" s="29">
        <v>0</v>
      </c>
      <c r="AI81" s="29">
        <v>0</v>
      </c>
      <c r="AJ81" s="29">
        <v>0</v>
      </c>
      <c r="AK81" s="29">
        <v>0</v>
      </c>
      <c r="AL81" s="29">
        <v>0</v>
      </c>
      <c r="AM81" s="29">
        <v>0</v>
      </c>
      <c r="AN81" s="29">
        <v>0</v>
      </c>
      <c r="AO81" s="29">
        <v>0</v>
      </c>
      <c r="AP81" s="29">
        <v>0</v>
      </c>
      <c r="AQ81" s="29">
        <v>0</v>
      </c>
      <c r="AR81" s="29">
        <v>0</v>
      </c>
      <c r="AS81" s="29">
        <v>0</v>
      </c>
      <c r="AT81" s="29">
        <v>0</v>
      </c>
      <c r="AU81" s="29">
        <v>0</v>
      </c>
      <c r="AV81" s="29">
        <v>0</v>
      </c>
      <c r="AW81" s="29">
        <v>0</v>
      </c>
      <c r="AX81" s="29">
        <v>0</v>
      </c>
      <c r="AY81" s="29">
        <v>0</v>
      </c>
      <c r="AZ81" s="29">
        <v>0</v>
      </c>
      <c r="BA81" s="29">
        <v>0</v>
      </c>
      <c r="BB81" s="29">
        <v>0</v>
      </c>
      <c r="BC81" s="29">
        <v>0</v>
      </c>
      <c r="BD81" s="29">
        <v>0</v>
      </c>
      <c r="BE81" s="29">
        <v>0</v>
      </c>
      <c r="BF81" s="29">
        <v>0</v>
      </c>
      <c r="BG81" s="29">
        <v>0</v>
      </c>
      <c r="BH81" s="29">
        <v>0</v>
      </c>
      <c r="BI81" s="29">
        <v>0</v>
      </c>
      <c r="BJ81" s="29">
        <v>0</v>
      </c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31">
        <f t="shared" si="48"/>
        <v>2.6099993340000003</v>
      </c>
      <c r="BV81" s="29">
        <v>0</v>
      </c>
      <c r="BW81" s="29">
        <v>0</v>
      </c>
      <c r="BX81" s="31">
        <f t="shared" si="49"/>
        <v>2.6099993340000003</v>
      </c>
      <c r="BY81" s="29">
        <v>0</v>
      </c>
      <c r="BZ81" s="53" t="s">
        <v>146</v>
      </c>
    </row>
    <row r="82" spans="1:78" s="13" customFormat="1" ht="63" x14ac:dyDescent="0.25">
      <c r="A82" s="27" t="s">
        <v>73</v>
      </c>
      <c r="B82" s="28" t="s">
        <v>74</v>
      </c>
      <c r="C82" s="26" t="s">
        <v>126</v>
      </c>
      <c r="D82" s="26" t="s">
        <v>117</v>
      </c>
      <c r="E82" s="26" t="s">
        <v>117</v>
      </c>
      <c r="F82" s="26" t="s">
        <v>117</v>
      </c>
      <c r="G82" s="26" t="s">
        <v>117</v>
      </c>
      <c r="H82" s="29" t="s">
        <v>117</v>
      </c>
      <c r="I82" s="29" t="s">
        <v>117</v>
      </c>
      <c r="J82" s="29" t="s">
        <v>117</v>
      </c>
      <c r="K82" s="29" t="s">
        <v>117</v>
      </c>
      <c r="L82" s="29" t="s">
        <v>117</v>
      </c>
      <c r="M82" s="29" t="s">
        <v>117</v>
      </c>
      <c r="N82" s="29" t="s">
        <v>117</v>
      </c>
      <c r="O82" s="29" t="s">
        <v>117</v>
      </c>
      <c r="P82" s="29" t="s">
        <v>117</v>
      </c>
      <c r="Q82" s="29" t="s">
        <v>117</v>
      </c>
      <c r="R82" s="29" t="s">
        <v>117</v>
      </c>
      <c r="S82" s="29" t="s">
        <v>117</v>
      </c>
      <c r="T82" s="29" t="s">
        <v>117</v>
      </c>
      <c r="U82" s="29" t="s">
        <v>117</v>
      </c>
      <c r="V82" s="29" t="s">
        <v>117</v>
      </c>
      <c r="W82" s="29" t="s">
        <v>117</v>
      </c>
      <c r="X82" s="29" t="s">
        <v>117</v>
      </c>
      <c r="Y82" s="29" t="s">
        <v>117</v>
      </c>
      <c r="Z82" s="29" t="s">
        <v>117</v>
      </c>
      <c r="AA82" s="29" t="s">
        <v>117</v>
      </c>
      <c r="AB82" s="29" t="s">
        <v>117</v>
      </c>
      <c r="AC82" s="29" t="s">
        <v>117</v>
      </c>
      <c r="AD82" s="29" t="s">
        <v>117</v>
      </c>
      <c r="AE82" s="29" t="s">
        <v>117</v>
      </c>
      <c r="AF82" s="29" t="s">
        <v>117</v>
      </c>
      <c r="AG82" s="29" t="s">
        <v>117</v>
      </c>
      <c r="AH82" s="29" t="s">
        <v>117</v>
      </c>
      <c r="AI82" s="29" t="s">
        <v>117</v>
      </c>
      <c r="AJ82" s="29" t="s">
        <v>117</v>
      </c>
      <c r="AK82" s="29" t="s">
        <v>117</v>
      </c>
      <c r="AL82" s="29" t="s">
        <v>117</v>
      </c>
      <c r="AM82" s="29" t="s">
        <v>117</v>
      </c>
      <c r="AN82" s="29" t="s">
        <v>117</v>
      </c>
      <c r="AO82" s="29" t="s">
        <v>117</v>
      </c>
      <c r="AP82" s="29" t="s">
        <v>117</v>
      </c>
      <c r="AQ82" s="29" t="s">
        <v>117</v>
      </c>
      <c r="AR82" s="29" t="s">
        <v>117</v>
      </c>
      <c r="AS82" s="29" t="s">
        <v>117</v>
      </c>
      <c r="AT82" s="29" t="s">
        <v>117</v>
      </c>
      <c r="AU82" s="29" t="s">
        <v>117</v>
      </c>
      <c r="AV82" s="29" t="s">
        <v>117</v>
      </c>
      <c r="AW82" s="29" t="s">
        <v>117</v>
      </c>
      <c r="AX82" s="29" t="s">
        <v>117</v>
      </c>
      <c r="AY82" s="29" t="s">
        <v>117</v>
      </c>
      <c r="AZ82" s="29" t="s">
        <v>117</v>
      </c>
      <c r="BA82" s="29" t="s">
        <v>117</v>
      </c>
      <c r="BB82" s="29" t="s">
        <v>117</v>
      </c>
      <c r="BC82" s="29" t="s">
        <v>117</v>
      </c>
      <c r="BD82" s="29" t="s">
        <v>117</v>
      </c>
      <c r="BE82" s="29" t="s">
        <v>117</v>
      </c>
      <c r="BF82" s="29" t="s">
        <v>117</v>
      </c>
      <c r="BG82" s="29" t="s">
        <v>117</v>
      </c>
      <c r="BH82" s="29" t="s">
        <v>117</v>
      </c>
      <c r="BI82" s="29" t="s">
        <v>117</v>
      </c>
      <c r="BJ82" s="29" t="s">
        <v>117</v>
      </c>
      <c r="BK82" s="29" t="s">
        <v>117</v>
      </c>
      <c r="BL82" s="29" t="s">
        <v>117</v>
      </c>
      <c r="BM82" s="29" t="s">
        <v>117</v>
      </c>
      <c r="BN82" s="29" t="s">
        <v>117</v>
      </c>
      <c r="BO82" s="29" t="s">
        <v>117</v>
      </c>
      <c r="BP82" s="29" t="s">
        <v>117</v>
      </c>
      <c r="BQ82" s="29" t="s">
        <v>117</v>
      </c>
      <c r="BR82" s="29" t="s">
        <v>117</v>
      </c>
      <c r="BS82" s="29" t="s">
        <v>117</v>
      </c>
      <c r="BT82" s="29" t="s">
        <v>117</v>
      </c>
      <c r="BU82" s="29" t="s">
        <v>117</v>
      </c>
      <c r="BV82" s="29" t="s">
        <v>117</v>
      </c>
      <c r="BW82" s="29" t="s">
        <v>117</v>
      </c>
      <c r="BX82" s="31" t="s">
        <v>117</v>
      </c>
      <c r="BY82" s="29" t="s">
        <v>117</v>
      </c>
      <c r="BZ82" s="26" t="s">
        <v>117</v>
      </c>
    </row>
    <row r="83" spans="1:78" s="13" customFormat="1" ht="47.25" x14ac:dyDescent="0.25">
      <c r="A83" s="27" t="s">
        <v>75</v>
      </c>
      <c r="B83" s="28" t="s">
        <v>76</v>
      </c>
      <c r="C83" s="26" t="s">
        <v>117</v>
      </c>
      <c r="D83" s="26" t="s">
        <v>117</v>
      </c>
      <c r="E83" s="26" t="s">
        <v>117</v>
      </c>
      <c r="F83" s="26" t="s">
        <v>117</v>
      </c>
      <c r="G83" s="26" t="s">
        <v>117</v>
      </c>
      <c r="H83" s="29">
        <f>H84+H87</f>
        <v>5.273527842</v>
      </c>
      <c r="I83" s="29">
        <f>I84+I87</f>
        <v>48.642874804779993</v>
      </c>
      <c r="J83" s="29">
        <f t="shared" ref="J83:L83" si="57">J84</f>
        <v>0</v>
      </c>
      <c r="K83" s="29">
        <f t="shared" si="57"/>
        <v>0</v>
      </c>
      <c r="L83" s="29">
        <f t="shared" si="57"/>
        <v>0</v>
      </c>
      <c r="M83" s="29">
        <f>M84+M87</f>
        <v>122.14868907095999</v>
      </c>
      <c r="N83" s="29">
        <f t="shared" ref="N83:BY83" si="58">N84+N87</f>
        <v>140.56867362279914</v>
      </c>
      <c r="O83" s="29">
        <f t="shared" si="58"/>
        <v>58.91236410978</v>
      </c>
      <c r="P83" s="29">
        <f t="shared" si="58"/>
        <v>58.91236410978</v>
      </c>
      <c r="Q83" s="29">
        <f t="shared" si="58"/>
        <v>58.91236410978</v>
      </c>
      <c r="R83" s="29">
        <f t="shared" si="58"/>
        <v>57.220709463779997</v>
      </c>
      <c r="S83" s="29">
        <f t="shared" si="58"/>
        <v>39.89124027594</v>
      </c>
      <c r="T83" s="29">
        <f t="shared" si="58"/>
        <v>31.016544804540001</v>
      </c>
      <c r="U83" s="29">
        <f t="shared" si="58"/>
        <v>31.016544804540001</v>
      </c>
      <c r="V83" s="29">
        <f>V84+V87</f>
        <v>26.644506876539999</v>
      </c>
      <c r="W83" s="29">
        <f t="shared" ref="W83:AF83" si="59">W84+W87</f>
        <v>0</v>
      </c>
      <c r="X83" s="29">
        <f t="shared" si="59"/>
        <v>0</v>
      </c>
      <c r="Y83" s="29">
        <f t="shared" si="59"/>
        <v>0</v>
      </c>
      <c r="Z83" s="29">
        <f t="shared" si="59"/>
        <v>0</v>
      </c>
      <c r="AA83" s="29">
        <f t="shared" si="59"/>
        <v>0</v>
      </c>
      <c r="AB83" s="29">
        <f t="shared" si="59"/>
        <v>1.6916546459999999</v>
      </c>
      <c r="AC83" s="29">
        <f t="shared" si="59"/>
        <v>0</v>
      </c>
      <c r="AD83" s="29">
        <f t="shared" si="59"/>
        <v>0</v>
      </c>
      <c r="AE83" s="29">
        <f t="shared" si="59"/>
        <v>1.6916546459999999</v>
      </c>
      <c r="AF83" s="29">
        <f t="shared" si="59"/>
        <v>0</v>
      </c>
      <c r="AG83" s="29">
        <f t="shared" si="58"/>
        <v>17.329469187840001</v>
      </c>
      <c r="AH83" s="29">
        <f t="shared" si="58"/>
        <v>0</v>
      </c>
      <c r="AI83" s="29">
        <f t="shared" si="58"/>
        <v>0</v>
      </c>
      <c r="AJ83" s="29">
        <f t="shared" si="58"/>
        <v>17.329469187840001</v>
      </c>
      <c r="AK83" s="29">
        <f t="shared" si="58"/>
        <v>0</v>
      </c>
      <c r="AL83" s="29" t="e">
        <f t="shared" si="58"/>
        <v>#REF!</v>
      </c>
      <c r="AM83" s="29" t="e">
        <f t="shared" si="58"/>
        <v>#REF!</v>
      </c>
      <c r="AN83" s="29" t="e">
        <f t="shared" si="58"/>
        <v>#REF!</v>
      </c>
      <c r="AO83" s="29" t="e">
        <f t="shared" si="58"/>
        <v>#REF!</v>
      </c>
      <c r="AP83" s="29" t="e">
        <f t="shared" si="58"/>
        <v>#REF!</v>
      </c>
      <c r="AQ83" s="29">
        <f t="shared" si="58"/>
        <v>8.8746954714000008</v>
      </c>
      <c r="AR83" s="29">
        <f t="shared" si="58"/>
        <v>0</v>
      </c>
      <c r="AS83" s="29">
        <f t="shared" si="58"/>
        <v>0</v>
      </c>
      <c r="AT83" s="29">
        <f t="shared" si="58"/>
        <v>8.8746954714000008</v>
      </c>
      <c r="AU83" s="29">
        <f t="shared" si="58"/>
        <v>0</v>
      </c>
      <c r="AV83" s="29">
        <f t="shared" si="58"/>
        <v>0</v>
      </c>
      <c r="AW83" s="29">
        <f t="shared" si="58"/>
        <v>0</v>
      </c>
      <c r="AX83" s="29">
        <f t="shared" si="58"/>
        <v>0</v>
      </c>
      <c r="AY83" s="29">
        <f t="shared" si="58"/>
        <v>0</v>
      </c>
      <c r="AZ83" s="29">
        <f t="shared" si="58"/>
        <v>0</v>
      </c>
      <c r="BA83" s="29">
        <f t="shared" si="58"/>
        <v>4.3720379280000001</v>
      </c>
      <c r="BB83" s="29">
        <f t="shared" si="58"/>
        <v>0</v>
      </c>
      <c r="BC83" s="29">
        <f t="shared" si="58"/>
        <v>0</v>
      </c>
      <c r="BD83" s="29">
        <f t="shared" si="58"/>
        <v>4.3720379280000001</v>
      </c>
      <c r="BE83" s="29">
        <f t="shared" si="58"/>
        <v>0</v>
      </c>
      <c r="BF83" s="29">
        <f t="shared" si="58"/>
        <v>26.644506876539999</v>
      </c>
      <c r="BG83" s="29">
        <f t="shared" si="58"/>
        <v>0</v>
      </c>
      <c r="BH83" s="29">
        <f t="shared" si="58"/>
        <v>0</v>
      </c>
      <c r="BI83" s="29">
        <f t="shared" si="58"/>
        <v>26.644506876539999</v>
      </c>
      <c r="BJ83" s="29">
        <f t="shared" si="58"/>
        <v>0</v>
      </c>
      <c r="BK83" s="29" t="e">
        <f t="shared" si="58"/>
        <v>#VALUE!</v>
      </c>
      <c r="BL83" s="29" t="e">
        <f t="shared" si="58"/>
        <v>#VALUE!</v>
      </c>
      <c r="BM83" s="29" t="e">
        <f t="shared" si="58"/>
        <v>#VALUE!</v>
      </c>
      <c r="BN83" s="29" t="e">
        <f t="shared" si="58"/>
        <v>#VALUE!</v>
      </c>
      <c r="BO83" s="29" t="e">
        <f t="shared" si="58"/>
        <v>#VALUE!</v>
      </c>
      <c r="BP83" s="29" t="e">
        <f t="shared" si="58"/>
        <v>#VALUE!</v>
      </c>
      <c r="BQ83" s="29" t="e">
        <f t="shared" si="58"/>
        <v>#VALUE!</v>
      </c>
      <c r="BR83" s="29" t="e">
        <f t="shared" si="58"/>
        <v>#VALUE!</v>
      </c>
      <c r="BS83" s="29" t="e">
        <f t="shared" si="58"/>
        <v>#VALUE!</v>
      </c>
      <c r="BT83" s="29" t="e">
        <f t="shared" si="58"/>
        <v>#VALUE!</v>
      </c>
      <c r="BU83" s="29">
        <f t="shared" si="58"/>
        <v>58.91236410978</v>
      </c>
      <c r="BV83" s="29">
        <f t="shared" si="58"/>
        <v>0</v>
      </c>
      <c r="BW83" s="29">
        <f t="shared" si="58"/>
        <v>0</v>
      </c>
      <c r="BX83" s="29">
        <f t="shared" si="58"/>
        <v>58.91236410978</v>
      </c>
      <c r="BY83" s="29">
        <f t="shared" si="58"/>
        <v>0</v>
      </c>
      <c r="BZ83" s="26" t="s">
        <v>117</v>
      </c>
    </row>
    <row r="84" spans="1:78" s="13" customFormat="1" ht="31.5" x14ac:dyDescent="0.25">
      <c r="A84" s="27" t="s">
        <v>77</v>
      </c>
      <c r="B84" s="28" t="s">
        <v>78</v>
      </c>
      <c r="C84" s="26" t="s">
        <v>117</v>
      </c>
      <c r="D84" s="26" t="s">
        <v>117</v>
      </c>
      <c r="E84" s="26" t="s">
        <v>117</v>
      </c>
      <c r="F84" s="26" t="s">
        <v>117</v>
      </c>
      <c r="G84" s="26" t="s">
        <v>117</v>
      </c>
      <c r="H84" s="29">
        <f t="shared" ref="H84:AR84" si="60">SUM(H85:H86)</f>
        <v>3.5009963039999996</v>
      </c>
      <c r="I84" s="29">
        <f t="shared" si="60"/>
        <v>34.994629560779998</v>
      </c>
      <c r="J84" s="29">
        <f t="shared" si="60"/>
        <v>0</v>
      </c>
      <c r="K84" s="29">
        <f t="shared" si="60"/>
        <v>0</v>
      </c>
      <c r="L84" s="29">
        <f t="shared" si="60"/>
        <v>0</v>
      </c>
      <c r="M84" s="29">
        <f t="shared" si="60"/>
        <v>86.711329076159998</v>
      </c>
      <c r="N84" s="29">
        <f t="shared" si="60"/>
        <v>102.64970563476999</v>
      </c>
      <c r="O84" s="29">
        <f t="shared" si="60"/>
        <v>43.55669990106</v>
      </c>
      <c r="P84" s="29">
        <f t="shared" si="60"/>
        <v>43.55669990106</v>
      </c>
      <c r="Q84" s="29">
        <f t="shared" si="60"/>
        <v>43.55669990106</v>
      </c>
      <c r="R84" s="29">
        <f t="shared" si="60"/>
        <v>43.55669990106</v>
      </c>
      <c r="S84" s="29">
        <f t="shared" si="60"/>
        <v>31.016544804540001</v>
      </c>
      <c r="T84" s="29">
        <f t="shared" si="60"/>
        <v>31.016544804540001</v>
      </c>
      <c r="U84" s="29">
        <f t="shared" si="60"/>
        <v>31.016544804540001</v>
      </c>
      <c r="V84" s="29">
        <f t="shared" si="60"/>
        <v>26.644506876539999</v>
      </c>
      <c r="W84" s="29">
        <f t="shared" si="60"/>
        <v>0</v>
      </c>
      <c r="X84" s="29">
        <f t="shared" si="60"/>
        <v>0</v>
      </c>
      <c r="Y84" s="29">
        <f t="shared" si="60"/>
        <v>0</v>
      </c>
      <c r="Z84" s="29">
        <f t="shared" si="60"/>
        <v>0</v>
      </c>
      <c r="AA84" s="29">
        <f t="shared" si="60"/>
        <v>0</v>
      </c>
      <c r="AB84" s="29">
        <f t="shared" si="60"/>
        <v>0</v>
      </c>
      <c r="AC84" s="29">
        <f t="shared" si="60"/>
        <v>0</v>
      </c>
      <c r="AD84" s="29">
        <f t="shared" si="60"/>
        <v>0</v>
      </c>
      <c r="AE84" s="29">
        <f t="shared" si="60"/>
        <v>0</v>
      </c>
      <c r="AF84" s="29">
        <f t="shared" si="60"/>
        <v>0</v>
      </c>
      <c r="AG84" s="29">
        <f t="shared" si="60"/>
        <v>12.540155096519999</v>
      </c>
      <c r="AH84" s="29">
        <f t="shared" si="60"/>
        <v>0</v>
      </c>
      <c r="AI84" s="29">
        <f t="shared" si="60"/>
        <v>0</v>
      </c>
      <c r="AJ84" s="29">
        <f t="shared" si="60"/>
        <v>12.540155096519999</v>
      </c>
      <c r="AK84" s="29">
        <f t="shared" si="60"/>
        <v>0</v>
      </c>
      <c r="AL84" s="29" t="e">
        <f t="shared" si="60"/>
        <v>#REF!</v>
      </c>
      <c r="AM84" s="29" t="e">
        <f t="shared" si="60"/>
        <v>#REF!</v>
      </c>
      <c r="AN84" s="29" t="e">
        <f t="shared" si="60"/>
        <v>#REF!</v>
      </c>
      <c r="AO84" s="29" t="e">
        <f t="shared" si="60"/>
        <v>#REF!</v>
      </c>
      <c r="AP84" s="29" t="e">
        <f t="shared" si="60"/>
        <v>#REF!</v>
      </c>
      <c r="AQ84" s="29">
        <f t="shared" si="60"/>
        <v>0</v>
      </c>
      <c r="AR84" s="29">
        <f t="shared" si="60"/>
        <v>0</v>
      </c>
      <c r="AS84" s="29">
        <f t="shared" ref="AS84:BJ84" si="61">SUM(AS85:AS86)</f>
        <v>0</v>
      </c>
      <c r="AT84" s="29">
        <f t="shared" si="61"/>
        <v>0</v>
      </c>
      <c r="AU84" s="29">
        <f t="shared" si="61"/>
        <v>0</v>
      </c>
      <c r="AV84" s="29">
        <f t="shared" si="61"/>
        <v>0</v>
      </c>
      <c r="AW84" s="29">
        <f t="shared" si="61"/>
        <v>0</v>
      </c>
      <c r="AX84" s="29">
        <f t="shared" si="61"/>
        <v>0</v>
      </c>
      <c r="AY84" s="29">
        <f t="shared" si="61"/>
        <v>0</v>
      </c>
      <c r="AZ84" s="29">
        <f t="shared" si="61"/>
        <v>0</v>
      </c>
      <c r="BA84" s="29">
        <f t="shared" si="61"/>
        <v>4.3720379280000001</v>
      </c>
      <c r="BB84" s="29">
        <f t="shared" si="61"/>
        <v>0</v>
      </c>
      <c r="BC84" s="29">
        <f t="shared" si="61"/>
        <v>0</v>
      </c>
      <c r="BD84" s="29">
        <f t="shared" si="61"/>
        <v>4.3720379280000001</v>
      </c>
      <c r="BE84" s="29">
        <f t="shared" si="61"/>
        <v>0</v>
      </c>
      <c r="BF84" s="29">
        <f t="shared" si="61"/>
        <v>26.644506876539999</v>
      </c>
      <c r="BG84" s="29">
        <f t="shared" si="61"/>
        <v>0</v>
      </c>
      <c r="BH84" s="29">
        <f t="shared" si="61"/>
        <v>0</v>
      </c>
      <c r="BI84" s="29">
        <f t="shared" si="61"/>
        <v>26.644506876539999</v>
      </c>
      <c r="BJ84" s="29">
        <f t="shared" si="61"/>
        <v>0</v>
      </c>
      <c r="BK84" s="26" t="s">
        <v>117</v>
      </c>
      <c r="BL84" s="26" t="s">
        <v>117</v>
      </c>
      <c r="BM84" s="26" t="s">
        <v>117</v>
      </c>
      <c r="BN84" s="26" t="s">
        <v>117</v>
      </c>
      <c r="BO84" s="26" t="s">
        <v>117</v>
      </c>
      <c r="BP84" s="26" t="s">
        <v>117</v>
      </c>
      <c r="BQ84" s="26" t="s">
        <v>117</v>
      </c>
      <c r="BR84" s="26" t="s">
        <v>117</v>
      </c>
      <c r="BS84" s="26" t="s">
        <v>117</v>
      </c>
      <c r="BT84" s="26" t="s">
        <v>117</v>
      </c>
      <c r="BU84" s="31">
        <f t="shared" si="48"/>
        <v>43.55669990106</v>
      </c>
      <c r="BV84" s="29">
        <v>0</v>
      </c>
      <c r="BW84" s="29">
        <v>0</v>
      </c>
      <c r="BX84" s="31">
        <f>O84</f>
        <v>43.55669990106</v>
      </c>
      <c r="BY84" s="29">
        <v>0</v>
      </c>
      <c r="BZ84" s="26" t="s">
        <v>117</v>
      </c>
    </row>
    <row r="85" spans="1:78" s="13" customFormat="1" ht="63" x14ac:dyDescent="0.25">
      <c r="A85" s="34" t="s">
        <v>143</v>
      </c>
      <c r="B85" s="30" t="s">
        <v>197</v>
      </c>
      <c r="C85" s="47" t="s">
        <v>213</v>
      </c>
      <c r="D85" s="26" t="s">
        <v>125</v>
      </c>
      <c r="E85" s="26">
        <v>2025</v>
      </c>
      <c r="F85" s="26">
        <v>2025</v>
      </c>
      <c r="G85" s="26"/>
      <c r="H85" s="29">
        <f>0.9279558*1.2</f>
        <v>1.1135469599999999</v>
      </c>
      <c r="I85" s="29">
        <v>11.36352977424</v>
      </c>
      <c r="J85" s="32" t="s">
        <v>160</v>
      </c>
      <c r="K85" s="26" t="s">
        <v>117</v>
      </c>
      <c r="L85" s="20">
        <v>0</v>
      </c>
      <c r="M85" s="29">
        <f>27953.27462016/1000</f>
        <v>27.953274620159998</v>
      </c>
      <c r="N85" s="29">
        <f>29295.0318019277/1000</f>
        <v>29.295031801927699</v>
      </c>
      <c r="O85" s="29">
        <f>AG85</f>
        <v>12.540155096519999</v>
      </c>
      <c r="P85" s="29">
        <f>Q85</f>
        <v>12.540155096519999</v>
      </c>
      <c r="Q85" s="29">
        <f>O85</f>
        <v>12.540155096519999</v>
      </c>
      <c r="R85" s="29">
        <f>Q85</f>
        <v>12.540155096519999</v>
      </c>
      <c r="S85" s="29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29">
        <v>0</v>
      </c>
      <c r="AD85" s="29">
        <v>0</v>
      </c>
      <c r="AE85" s="29">
        <v>0</v>
      </c>
      <c r="AF85" s="29">
        <v>0</v>
      </c>
      <c r="AG85" s="29">
        <f>AJ85</f>
        <v>12.540155096519999</v>
      </c>
      <c r="AH85" s="29">
        <v>0</v>
      </c>
      <c r="AI85" s="29">
        <v>0</v>
      </c>
      <c r="AJ85" s="29">
        <f>12540.15509652/1000</f>
        <v>12.540155096519999</v>
      </c>
      <c r="AK85" s="29">
        <f t="shared" ref="AK85:AZ85" si="62">AK86</f>
        <v>0</v>
      </c>
      <c r="AL85" s="29" t="e">
        <f t="shared" si="62"/>
        <v>#REF!</v>
      </c>
      <c r="AM85" s="29" t="e">
        <f t="shared" si="62"/>
        <v>#REF!</v>
      </c>
      <c r="AN85" s="29" t="e">
        <f t="shared" si="62"/>
        <v>#REF!</v>
      </c>
      <c r="AO85" s="29" t="e">
        <f t="shared" si="62"/>
        <v>#REF!</v>
      </c>
      <c r="AP85" s="29" t="e">
        <f t="shared" si="62"/>
        <v>#REF!</v>
      </c>
      <c r="AQ85" s="29">
        <f t="shared" si="62"/>
        <v>0</v>
      </c>
      <c r="AR85" s="29">
        <f t="shared" si="62"/>
        <v>0</v>
      </c>
      <c r="AS85" s="29">
        <f t="shared" si="62"/>
        <v>0</v>
      </c>
      <c r="AT85" s="29">
        <f t="shared" si="62"/>
        <v>0</v>
      </c>
      <c r="AU85" s="29">
        <f t="shared" si="62"/>
        <v>0</v>
      </c>
      <c r="AV85" s="29">
        <f t="shared" si="62"/>
        <v>0</v>
      </c>
      <c r="AW85" s="29">
        <f t="shared" si="62"/>
        <v>0</v>
      </c>
      <c r="AX85" s="29">
        <f t="shared" si="62"/>
        <v>0</v>
      </c>
      <c r="AY85" s="29">
        <f t="shared" si="62"/>
        <v>0</v>
      </c>
      <c r="AZ85" s="29">
        <f t="shared" si="62"/>
        <v>0</v>
      </c>
      <c r="BA85" s="29">
        <v>0</v>
      </c>
      <c r="BB85" s="29">
        <f>BB86</f>
        <v>0</v>
      </c>
      <c r="BC85" s="29">
        <f>BC86</f>
        <v>0</v>
      </c>
      <c r="BD85" s="29">
        <v>0</v>
      </c>
      <c r="BE85" s="29">
        <f>BE86</f>
        <v>0</v>
      </c>
      <c r="BF85" s="29">
        <v>0</v>
      </c>
      <c r="BG85" s="29">
        <v>0</v>
      </c>
      <c r="BH85" s="29">
        <v>0</v>
      </c>
      <c r="BI85" s="29">
        <v>0</v>
      </c>
      <c r="BJ85" s="29">
        <v>0</v>
      </c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31">
        <f t="shared" si="48"/>
        <v>12.540155096519999</v>
      </c>
      <c r="BV85" s="29">
        <f>BV86</f>
        <v>0</v>
      </c>
      <c r="BW85" s="29">
        <f>BW86</f>
        <v>0</v>
      </c>
      <c r="BX85" s="31">
        <f>O85</f>
        <v>12.540155096519999</v>
      </c>
      <c r="BY85" s="29">
        <f>BY86</f>
        <v>0</v>
      </c>
      <c r="BZ85" s="52" t="s">
        <v>146</v>
      </c>
    </row>
    <row r="86" spans="1:78" s="13" customFormat="1" ht="63" x14ac:dyDescent="0.25">
      <c r="A86" s="34" t="s">
        <v>144</v>
      </c>
      <c r="B86" s="30" t="s">
        <v>172</v>
      </c>
      <c r="C86" s="47" t="s">
        <v>214</v>
      </c>
      <c r="D86" s="26" t="s">
        <v>125</v>
      </c>
      <c r="E86" s="26">
        <v>2028</v>
      </c>
      <c r="F86" s="26">
        <v>2029</v>
      </c>
      <c r="G86" s="26"/>
      <c r="H86" s="29">
        <f>1.98954112*1.2</f>
        <v>2.3874493439999998</v>
      </c>
      <c r="I86" s="29">
        <v>23.631099786540002</v>
      </c>
      <c r="J86" s="32" t="s">
        <v>160</v>
      </c>
      <c r="K86" s="26" t="s">
        <v>117</v>
      </c>
      <c r="L86" s="20">
        <v>0</v>
      </c>
      <c r="M86" s="29">
        <f>58758.054456/1000</f>
        <v>58.758054455999996</v>
      </c>
      <c r="N86" s="29">
        <f>73354.6738328423/1000</f>
        <v>73.354673832842295</v>
      </c>
      <c r="O86" s="29">
        <f>BA86+BF86</f>
        <v>31.016544804540001</v>
      </c>
      <c r="P86" s="29">
        <f>Q86</f>
        <v>31.016544804540001</v>
      </c>
      <c r="Q86" s="29">
        <f>O86</f>
        <v>31.016544804540001</v>
      </c>
      <c r="R86" s="29">
        <f>Q86</f>
        <v>31.016544804540001</v>
      </c>
      <c r="S86" s="29">
        <f>R86</f>
        <v>31.016544804540001</v>
      </c>
      <c r="T86" s="29">
        <f>S86</f>
        <v>31.016544804540001</v>
      </c>
      <c r="U86" s="29">
        <f>T86</f>
        <v>31.016544804540001</v>
      </c>
      <c r="V86" s="29">
        <f>U86-BA86</f>
        <v>26.644506876539999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29">
        <v>0</v>
      </c>
      <c r="AE86" s="29">
        <v>0</v>
      </c>
      <c r="AF86" s="29">
        <v>0</v>
      </c>
      <c r="AG86" s="29">
        <f>AJ86</f>
        <v>0</v>
      </c>
      <c r="AH86" s="29">
        <v>0</v>
      </c>
      <c r="AI86" s="29">
        <v>0</v>
      </c>
      <c r="AJ86" s="29">
        <v>0</v>
      </c>
      <c r="AK86" s="29">
        <v>0</v>
      </c>
      <c r="AL86" s="29" t="e">
        <f>#REF!</f>
        <v>#REF!</v>
      </c>
      <c r="AM86" s="29" t="e">
        <f>#REF!</f>
        <v>#REF!</v>
      </c>
      <c r="AN86" s="29" t="e">
        <f>#REF!</f>
        <v>#REF!</v>
      </c>
      <c r="AO86" s="29" t="e">
        <f>#REF!</f>
        <v>#REF!</v>
      </c>
      <c r="AP86" s="29" t="e">
        <f>#REF!</f>
        <v>#REF!</v>
      </c>
      <c r="AQ86" s="29">
        <v>0</v>
      </c>
      <c r="AR86" s="29">
        <v>0</v>
      </c>
      <c r="AS86" s="29">
        <v>0</v>
      </c>
      <c r="AT86" s="29">
        <v>0</v>
      </c>
      <c r="AU86" s="29">
        <v>0</v>
      </c>
      <c r="AV86" s="29">
        <v>0</v>
      </c>
      <c r="AW86" s="29">
        <v>0</v>
      </c>
      <c r="AX86" s="29">
        <v>0</v>
      </c>
      <c r="AY86" s="29">
        <v>0</v>
      </c>
      <c r="AZ86" s="29">
        <v>0</v>
      </c>
      <c r="BA86" s="29">
        <f>BD86</f>
        <v>4.3720379280000001</v>
      </c>
      <c r="BB86" s="29">
        <v>0</v>
      </c>
      <c r="BC86" s="29">
        <v>0</v>
      </c>
      <c r="BD86" s="29">
        <f>4372.037928/1000</f>
        <v>4.3720379280000001</v>
      </c>
      <c r="BE86" s="29">
        <v>0</v>
      </c>
      <c r="BF86" s="29">
        <f>BI86</f>
        <v>26.644506876539999</v>
      </c>
      <c r="BG86" s="29">
        <v>0</v>
      </c>
      <c r="BH86" s="29">
        <v>0</v>
      </c>
      <c r="BI86" s="29">
        <f>26644.50687654/1000</f>
        <v>26.644506876539999</v>
      </c>
      <c r="BJ86" s="29">
        <v>0</v>
      </c>
      <c r="BK86" s="29" t="e">
        <f>#REF!</f>
        <v>#REF!</v>
      </c>
      <c r="BL86" s="29" t="e">
        <f>#REF!</f>
        <v>#REF!</v>
      </c>
      <c r="BM86" s="29" t="e">
        <f>#REF!</f>
        <v>#REF!</v>
      </c>
      <c r="BN86" s="29" t="e">
        <f>#REF!</f>
        <v>#REF!</v>
      </c>
      <c r="BO86" s="29" t="e">
        <f>#REF!</f>
        <v>#REF!</v>
      </c>
      <c r="BP86" s="29" t="e">
        <f>#REF!</f>
        <v>#REF!</v>
      </c>
      <c r="BQ86" s="29" t="e">
        <f>#REF!</f>
        <v>#REF!</v>
      </c>
      <c r="BR86" s="29" t="e">
        <f>#REF!</f>
        <v>#REF!</v>
      </c>
      <c r="BS86" s="29" t="e">
        <f>#REF!</f>
        <v>#REF!</v>
      </c>
      <c r="BT86" s="29" t="e">
        <f>#REF!</f>
        <v>#REF!</v>
      </c>
      <c r="BU86" s="31">
        <f t="shared" si="48"/>
        <v>31.016544804540001</v>
      </c>
      <c r="BV86" s="29">
        <v>0</v>
      </c>
      <c r="BW86" s="29">
        <v>0</v>
      </c>
      <c r="BX86" s="31">
        <f>O86</f>
        <v>31.016544804540001</v>
      </c>
      <c r="BY86" s="29">
        <v>0</v>
      </c>
      <c r="BZ86" s="52" t="s">
        <v>146</v>
      </c>
    </row>
    <row r="87" spans="1:78" s="13" customFormat="1" ht="47.25" x14ac:dyDescent="0.25">
      <c r="A87" s="27" t="s">
        <v>79</v>
      </c>
      <c r="B87" s="28" t="s">
        <v>80</v>
      </c>
      <c r="C87" s="26" t="s">
        <v>117</v>
      </c>
      <c r="D87" s="26" t="s">
        <v>117</v>
      </c>
      <c r="E87" s="26" t="s">
        <v>117</v>
      </c>
      <c r="F87" s="26" t="s">
        <v>117</v>
      </c>
      <c r="G87" s="26" t="s">
        <v>117</v>
      </c>
      <c r="H87" s="29">
        <f>SUM(H88:H91)</f>
        <v>1.772531538</v>
      </c>
      <c r="I87" s="29">
        <f>SUM(I88:I91)</f>
        <v>13.648245243999998</v>
      </c>
      <c r="J87" s="26" t="s">
        <v>117</v>
      </c>
      <c r="K87" s="26" t="s">
        <v>117</v>
      </c>
      <c r="L87" s="26" t="s">
        <v>117</v>
      </c>
      <c r="M87" s="29">
        <f>SUM(M88:M91)</f>
        <v>35.437359994799998</v>
      </c>
      <c r="N87" s="29">
        <f t="shared" ref="N87:BY87" si="63">SUM(N88:N91)</f>
        <v>37.918967988029159</v>
      </c>
      <c r="O87" s="29">
        <f t="shared" si="63"/>
        <v>15.35566420872</v>
      </c>
      <c r="P87" s="29">
        <f t="shared" si="63"/>
        <v>15.35566420872</v>
      </c>
      <c r="Q87" s="29">
        <f t="shared" si="63"/>
        <v>15.35566420872</v>
      </c>
      <c r="R87" s="29">
        <f t="shared" si="63"/>
        <v>13.66400956272</v>
      </c>
      <c r="S87" s="29">
        <f t="shared" si="63"/>
        <v>8.8746954714000008</v>
      </c>
      <c r="T87" s="29">
        <f t="shared" si="63"/>
        <v>0</v>
      </c>
      <c r="U87" s="29">
        <f t="shared" si="63"/>
        <v>0</v>
      </c>
      <c r="V87" s="29">
        <f t="shared" si="63"/>
        <v>0</v>
      </c>
      <c r="W87" s="29">
        <f t="shared" si="63"/>
        <v>0</v>
      </c>
      <c r="X87" s="29">
        <f t="shared" si="63"/>
        <v>0</v>
      </c>
      <c r="Y87" s="29">
        <f t="shared" si="63"/>
        <v>0</v>
      </c>
      <c r="Z87" s="29">
        <f t="shared" si="63"/>
        <v>0</v>
      </c>
      <c r="AA87" s="29">
        <f t="shared" si="63"/>
        <v>0</v>
      </c>
      <c r="AB87" s="29">
        <f t="shared" si="63"/>
        <v>1.6916546459999999</v>
      </c>
      <c r="AC87" s="29">
        <f t="shared" si="63"/>
        <v>0</v>
      </c>
      <c r="AD87" s="29">
        <f t="shared" si="63"/>
        <v>0</v>
      </c>
      <c r="AE87" s="29">
        <f t="shared" si="63"/>
        <v>1.6916546459999999</v>
      </c>
      <c r="AF87" s="29">
        <f t="shared" si="63"/>
        <v>0</v>
      </c>
      <c r="AG87" s="29">
        <f t="shared" si="63"/>
        <v>4.7893140913200005</v>
      </c>
      <c r="AH87" s="29">
        <f t="shared" si="63"/>
        <v>0</v>
      </c>
      <c r="AI87" s="29">
        <f t="shared" si="63"/>
        <v>0</v>
      </c>
      <c r="AJ87" s="29">
        <f t="shared" si="63"/>
        <v>4.7893140913200005</v>
      </c>
      <c r="AK87" s="29">
        <f t="shared" si="63"/>
        <v>0</v>
      </c>
      <c r="AL87" s="29">
        <f t="shared" si="63"/>
        <v>0</v>
      </c>
      <c r="AM87" s="29">
        <f t="shared" si="63"/>
        <v>0</v>
      </c>
      <c r="AN87" s="29">
        <f t="shared" si="63"/>
        <v>0</v>
      </c>
      <c r="AO87" s="29">
        <f t="shared" si="63"/>
        <v>0</v>
      </c>
      <c r="AP87" s="29">
        <f t="shared" si="63"/>
        <v>0</v>
      </c>
      <c r="AQ87" s="29">
        <f t="shared" si="63"/>
        <v>8.8746954714000008</v>
      </c>
      <c r="AR87" s="29">
        <f t="shared" si="63"/>
        <v>0</v>
      </c>
      <c r="AS87" s="29">
        <f t="shared" si="63"/>
        <v>0</v>
      </c>
      <c r="AT87" s="29">
        <f t="shared" si="63"/>
        <v>8.8746954714000008</v>
      </c>
      <c r="AU87" s="29">
        <f t="shared" si="63"/>
        <v>0</v>
      </c>
      <c r="AV87" s="29">
        <f t="shared" si="63"/>
        <v>0</v>
      </c>
      <c r="AW87" s="29">
        <f t="shared" si="63"/>
        <v>0</v>
      </c>
      <c r="AX87" s="29">
        <f t="shared" si="63"/>
        <v>0</v>
      </c>
      <c r="AY87" s="29">
        <f t="shared" si="63"/>
        <v>0</v>
      </c>
      <c r="AZ87" s="29">
        <f t="shared" si="63"/>
        <v>0</v>
      </c>
      <c r="BA87" s="29">
        <f t="shared" si="63"/>
        <v>0</v>
      </c>
      <c r="BB87" s="29">
        <f t="shared" si="63"/>
        <v>0</v>
      </c>
      <c r="BC87" s="29">
        <f t="shared" si="63"/>
        <v>0</v>
      </c>
      <c r="BD87" s="29">
        <f t="shared" si="63"/>
        <v>0</v>
      </c>
      <c r="BE87" s="29">
        <f t="shared" si="63"/>
        <v>0</v>
      </c>
      <c r="BF87" s="29">
        <f t="shared" si="63"/>
        <v>0</v>
      </c>
      <c r="BG87" s="29">
        <f t="shared" si="63"/>
        <v>0</v>
      </c>
      <c r="BH87" s="29">
        <f t="shared" si="63"/>
        <v>0</v>
      </c>
      <c r="BI87" s="29">
        <f t="shared" si="63"/>
        <v>0</v>
      </c>
      <c r="BJ87" s="29">
        <f t="shared" si="63"/>
        <v>0</v>
      </c>
      <c r="BK87" s="29">
        <f t="shared" si="63"/>
        <v>0</v>
      </c>
      <c r="BL87" s="29">
        <f t="shared" si="63"/>
        <v>0</v>
      </c>
      <c r="BM87" s="29">
        <f t="shared" si="63"/>
        <v>0</v>
      </c>
      <c r="BN87" s="29">
        <f t="shared" si="63"/>
        <v>0</v>
      </c>
      <c r="BO87" s="29">
        <f t="shared" si="63"/>
        <v>0</v>
      </c>
      <c r="BP87" s="29">
        <f t="shared" si="63"/>
        <v>0</v>
      </c>
      <c r="BQ87" s="29">
        <f t="shared" si="63"/>
        <v>0</v>
      </c>
      <c r="BR87" s="29">
        <f t="shared" si="63"/>
        <v>0</v>
      </c>
      <c r="BS87" s="29">
        <f t="shared" si="63"/>
        <v>0</v>
      </c>
      <c r="BT87" s="29">
        <f t="shared" si="63"/>
        <v>0</v>
      </c>
      <c r="BU87" s="29">
        <f>SUM(BU88:BU91)</f>
        <v>15.35566420872</v>
      </c>
      <c r="BV87" s="29">
        <f t="shared" si="63"/>
        <v>0</v>
      </c>
      <c r="BW87" s="29">
        <f t="shared" si="63"/>
        <v>0</v>
      </c>
      <c r="BX87" s="29">
        <f>SUM(BX88:BX91)</f>
        <v>15.35566420872</v>
      </c>
      <c r="BY87" s="29">
        <f t="shared" si="63"/>
        <v>0</v>
      </c>
      <c r="BZ87" s="26" t="s">
        <v>117</v>
      </c>
    </row>
    <row r="88" spans="1:78" s="13" customFormat="1" ht="75" customHeight="1" x14ac:dyDescent="0.25">
      <c r="A88" s="34" t="s">
        <v>173</v>
      </c>
      <c r="B88" s="30" t="s">
        <v>174</v>
      </c>
      <c r="C88" s="47" t="s">
        <v>215</v>
      </c>
      <c r="D88" s="26" t="s">
        <v>125</v>
      </c>
      <c r="E88" s="26">
        <v>2025</v>
      </c>
      <c r="F88" s="26">
        <v>2025</v>
      </c>
      <c r="G88" s="26"/>
      <c r="H88" s="29">
        <f>0.26280793*1.2</f>
        <v>0.31536951600000002</v>
      </c>
      <c r="I88" s="29">
        <f>1.808308*1.2</f>
        <v>2.1699695999999999</v>
      </c>
      <c r="J88" s="32" t="s">
        <v>160</v>
      </c>
      <c r="K88" s="26" t="s">
        <v>117</v>
      </c>
      <c r="L88" s="20">
        <v>0</v>
      </c>
      <c r="M88" s="29">
        <f>4693.58964576/1000</f>
        <v>4.6935896457600004</v>
      </c>
      <c r="N88" s="29">
        <f>4918.88194875648/1000</f>
        <v>4.9188819487564794</v>
      </c>
      <c r="O88" s="29">
        <f>AG88</f>
        <v>2.3946570456600003</v>
      </c>
      <c r="P88" s="29">
        <f>Q88</f>
        <v>2.3946570456600003</v>
      </c>
      <c r="Q88" s="29">
        <f>O88</f>
        <v>2.3946570456600003</v>
      </c>
      <c r="R88" s="29">
        <f>Q88</f>
        <v>2.3946570456600003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29">
        <v>0</v>
      </c>
      <c r="AE88" s="29">
        <v>0</v>
      </c>
      <c r="AF88" s="29">
        <v>0</v>
      </c>
      <c r="AG88" s="29">
        <f>AJ88</f>
        <v>2.3946570456600003</v>
      </c>
      <c r="AH88" s="29">
        <v>0</v>
      </c>
      <c r="AI88" s="29">
        <v>0</v>
      </c>
      <c r="AJ88" s="29">
        <f>2394.65704566/1000</f>
        <v>2.3946570456600003</v>
      </c>
      <c r="AK88" s="29">
        <v>0</v>
      </c>
      <c r="AL88" s="29"/>
      <c r="AM88" s="29"/>
      <c r="AN88" s="29"/>
      <c r="AO88" s="29"/>
      <c r="AP88" s="29"/>
      <c r="AQ88" s="29">
        <v>0</v>
      </c>
      <c r="AR88" s="29">
        <v>0</v>
      </c>
      <c r="AS88" s="29">
        <v>0</v>
      </c>
      <c r="AT88" s="29">
        <v>0</v>
      </c>
      <c r="AU88" s="29">
        <v>0</v>
      </c>
      <c r="AV88" s="29">
        <v>0</v>
      </c>
      <c r="AW88" s="29">
        <v>0</v>
      </c>
      <c r="AX88" s="29">
        <v>0</v>
      </c>
      <c r="AY88" s="29">
        <v>0</v>
      </c>
      <c r="AZ88" s="29">
        <v>0</v>
      </c>
      <c r="BA88" s="29">
        <v>0</v>
      </c>
      <c r="BB88" s="29">
        <v>0</v>
      </c>
      <c r="BC88" s="29">
        <v>0</v>
      </c>
      <c r="BD88" s="29">
        <v>0</v>
      </c>
      <c r="BE88" s="29">
        <v>0</v>
      </c>
      <c r="BF88" s="29">
        <v>0</v>
      </c>
      <c r="BG88" s="29">
        <v>0</v>
      </c>
      <c r="BH88" s="29">
        <v>0</v>
      </c>
      <c r="BI88" s="29">
        <v>0</v>
      </c>
      <c r="BJ88" s="29">
        <v>0</v>
      </c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31">
        <f t="shared" si="48"/>
        <v>2.3946570456600003</v>
      </c>
      <c r="BV88" s="29">
        <v>0</v>
      </c>
      <c r="BW88" s="29">
        <v>0</v>
      </c>
      <c r="BX88" s="31">
        <f>AJ88</f>
        <v>2.3946570456600003</v>
      </c>
      <c r="BY88" s="29">
        <v>0</v>
      </c>
      <c r="BZ88" s="52" t="s">
        <v>146</v>
      </c>
    </row>
    <row r="89" spans="1:78" s="13" customFormat="1" ht="64.5" customHeight="1" x14ac:dyDescent="0.25">
      <c r="A89" s="34" t="s">
        <v>175</v>
      </c>
      <c r="B89" s="30" t="s">
        <v>176</v>
      </c>
      <c r="C89" s="47" t="s">
        <v>216</v>
      </c>
      <c r="D89" s="26" t="s">
        <v>125</v>
      </c>
      <c r="E89" s="26">
        <v>2025</v>
      </c>
      <c r="F89" s="26">
        <v>2025</v>
      </c>
      <c r="G89" s="26"/>
      <c r="H89" s="29">
        <v>0.31536951600000002</v>
      </c>
      <c r="I89" s="29">
        <v>2.1699695999999999</v>
      </c>
      <c r="J89" s="32" t="s">
        <v>160</v>
      </c>
      <c r="K89" s="26" t="s">
        <v>117</v>
      </c>
      <c r="L89" s="20">
        <v>0</v>
      </c>
      <c r="M89" s="29">
        <f>4693.58964576/1000</f>
        <v>4.6935896457600004</v>
      </c>
      <c r="N89" s="29">
        <f>4918.88194875648/1000</f>
        <v>4.9188819487564794</v>
      </c>
      <c r="O89" s="29">
        <v>2.3946570456600003</v>
      </c>
      <c r="P89" s="29">
        <f>Q89</f>
        <v>2.3946570456600003</v>
      </c>
      <c r="Q89" s="29">
        <v>2.3946570456600003</v>
      </c>
      <c r="R89" s="29">
        <v>2.3946570456600003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s="29">
        <v>0</v>
      </c>
      <c r="AE89" s="29">
        <v>0</v>
      </c>
      <c r="AF89" s="29">
        <v>0</v>
      </c>
      <c r="AG89" s="29">
        <f>AJ89</f>
        <v>2.3946570456600003</v>
      </c>
      <c r="AH89" s="29">
        <v>0</v>
      </c>
      <c r="AI89" s="29">
        <v>0</v>
      </c>
      <c r="AJ89" s="29">
        <v>2.3946570456600003</v>
      </c>
      <c r="AK89" s="29">
        <v>0</v>
      </c>
      <c r="AL89" s="29"/>
      <c r="AM89" s="29"/>
      <c r="AN89" s="29"/>
      <c r="AO89" s="29"/>
      <c r="AP89" s="29"/>
      <c r="AQ89" s="29">
        <v>0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29">
        <v>0</v>
      </c>
      <c r="AY89" s="29">
        <v>0</v>
      </c>
      <c r="AZ89" s="29">
        <v>0</v>
      </c>
      <c r="BA89" s="29">
        <v>0</v>
      </c>
      <c r="BB89" s="29">
        <v>0</v>
      </c>
      <c r="BC89" s="29">
        <v>0</v>
      </c>
      <c r="BD89" s="29">
        <v>0</v>
      </c>
      <c r="BE89" s="29">
        <v>0</v>
      </c>
      <c r="BF89" s="29">
        <v>0</v>
      </c>
      <c r="BG89" s="29">
        <v>0</v>
      </c>
      <c r="BH89" s="29">
        <v>0</v>
      </c>
      <c r="BI89" s="29">
        <v>0</v>
      </c>
      <c r="BJ89" s="29">
        <v>0</v>
      </c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31">
        <f t="shared" si="48"/>
        <v>2.3946570456600003</v>
      </c>
      <c r="BV89" s="29">
        <v>0</v>
      </c>
      <c r="BW89" s="29">
        <v>0</v>
      </c>
      <c r="BX89" s="31">
        <f>AJ89</f>
        <v>2.3946570456600003</v>
      </c>
      <c r="BY89" s="29">
        <v>0</v>
      </c>
      <c r="BZ89" s="52" t="s">
        <v>146</v>
      </c>
    </row>
    <row r="90" spans="1:78" s="13" customFormat="1" ht="74.25" customHeight="1" x14ac:dyDescent="0.25">
      <c r="A90" s="34" t="s">
        <v>177</v>
      </c>
      <c r="B90" s="30" t="s">
        <v>196</v>
      </c>
      <c r="C90" s="47" t="s">
        <v>217</v>
      </c>
      <c r="D90" s="26" t="s">
        <v>125</v>
      </c>
      <c r="E90" s="26">
        <v>2026</v>
      </c>
      <c r="F90" s="26">
        <v>2026</v>
      </c>
      <c r="G90" s="26"/>
      <c r="H90" s="29">
        <f>0.81426948*1.2</f>
        <v>0.97712337599999999</v>
      </c>
      <c r="I90" s="29">
        <f>6.40694322*1.2</f>
        <v>7.6883318639999993</v>
      </c>
      <c r="J90" s="32" t="s">
        <v>160</v>
      </c>
      <c r="K90" s="26" t="s">
        <v>117</v>
      </c>
      <c r="L90" s="20">
        <v>0</v>
      </c>
      <c r="M90" s="29">
        <f>21110.7536508/1000</f>
        <v>21.1107536508</v>
      </c>
      <c r="N90" s="29">
        <f>23141.7770380362/1000</f>
        <v>23.141777038036203</v>
      </c>
      <c r="O90" s="29">
        <f>AQ90</f>
        <v>8.8746954714000008</v>
      </c>
      <c r="P90" s="29">
        <f>Q90</f>
        <v>8.8746954714000008</v>
      </c>
      <c r="Q90" s="29">
        <f>O90</f>
        <v>8.8746954714000008</v>
      </c>
      <c r="R90" s="29">
        <f>Q90</f>
        <v>8.8746954714000008</v>
      </c>
      <c r="S90" s="29">
        <f>R90</f>
        <v>8.8746954714000008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29">
        <v>0</v>
      </c>
      <c r="AF90" s="29">
        <v>0</v>
      </c>
      <c r="AG90" s="29">
        <v>0</v>
      </c>
      <c r="AH90" s="29">
        <v>0</v>
      </c>
      <c r="AI90" s="29">
        <v>0</v>
      </c>
      <c r="AJ90" s="29">
        <v>0</v>
      </c>
      <c r="AK90" s="29">
        <v>0</v>
      </c>
      <c r="AL90" s="29"/>
      <c r="AM90" s="29"/>
      <c r="AN90" s="29"/>
      <c r="AO90" s="29"/>
      <c r="AP90" s="29"/>
      <c r="AQ90" s="29">
        <f>AT90</f>
        <v>8.8746954714000008</v>
      </c>
      <c r="AR90" s="29">
        <v>0</v>
      </c>
      <c r="AS90" s="29">
        <v>0</v>
      </c>
      <c r="AT90" s="29">
        <f>8874.6954714/1000</f>
        <v>8.8746954714000008</v>
      </c>
      <c r="AU90" s="29">
        <v>0</v>
      </c>
      <c r="AV90" s="29">
        <v>0</v>
      </c>
      <c r="AW90" s="29">
        <v>0</v>
      </c>
      <c r="AX90" s="29">
        <v>0</v>
      </c>
      <c r="AY90" s="29">
        <v>0</v>
      </c>
      <c r="AZ90" s="29">
        <v>0</v>
      </c>
      <c r="BA90" s="29">
        <v>0</v>
      </c>
      <c r="BB90" s="29">
        <v>0</v>
      </c>
      <c r="BC90" s="29">
        <v>0</v>
      </c>
      <c r="BD90" s="29">
        <v>0</v>
      </c>
      <c r="BE90" s="29">
        <v>0</v>
      </c>
      <c r="BF90" s="29">
        <v>0</v>
      </c>
      <c r="BG90" s="29">
        <v>0</v>
      </c>
      <c r="BH90" s="29">
        <v>0</v>
      </c>
      <c r="BI90" s="29">
        <v>0</v>
      </c>
      <c r="BJ90" s="29">
        <v>0</v>
      </c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31">
        <f t="shared" si="48"/>
        <v>8.8746954714000008</v>
      </c>
      <c r="BV90" s="29">
        <v>0</v>
      </c>
      <c r="BW90" s="29">
        <v>0</v>
      </c>
      <c r="BX90" s="31">
        <f>AT90</f>
        <v>8.8746954714000008</v>
      </c>
      <c r="BY90" s="29">
        <v>0</v>
      </c>
      <c r="BZ90" s="52" t="s">
        <v>146</v>
      </c>
    </row>
    <row r="91" spans="1:78" s="13" customFormat="1" ht="74.25" customHeight="1" x14ac:dyDescent="0.25">
      <c r="A91" s="34" t="s">
        <v>260</v>
      </c>
      <c r="B91" s="30" t="s">
        <v>261</v>
      </c>
      <c r="C91" s="47" t="s">
        <v>262</v>
      </c>
      <c r="D91" s="26" t="s">
        <v>125</v>
      </c>
      <c r="E91" s="26">
        <v>2024</v>
      </c>
      <c r="F91" s="26">
        <v>2024</v>
      </c>
      <c r="G91" s="26"/>
      <c r="H91" s="29">
        <v>0.16466913</v>
      </c>
      <c r="I91" s="29">
        <v>1.61997418</v>
      </c>
      <c r="J91" s="32" t="s">
        <v>160</v>
      </c>
      <c r="K91" s="26" t="s">
        <v>117</v>
      </c>
      <c r="L91" s="20">
        <v>0</v>
      </c>
      <c r="M91" s="29">
        <f>4939.42705248/1000</f>
        <v>4.9394270524800001</v>
      </c>
      <c r="N91" s="29">
        <f>4939.42705248/1000</f>
        <v>4.9394270524800001</v>
      </c>
      <c r="O91" s="29">
        <f t="shared" ref="O91" si="64">L91+BU91</f>
        <v>1.6916546459999999</v>
      </c>
      <c r="P91" s="29">
        <f>O91</f>
        <v>1.6916546459999999</v>
      </c>
      <c r="Q91" s="29">
        <f>P91</f>
        <v>1.6916546459999999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29">
        <v>0</v>
      </c>
      <c r="X91" s="29">
        <v>0</v>
      </c>
      <c r="Y91" s="29">
        <v>0</v>
      </c>
      <c r="Z91" s="29">
        <v>0</v>
      </c>
      <c r="AA91" s="29">
        <v>0</v>
      </c>
      <c r="AB91" s="29">
        <f>AE91</f>
        <v>1.6916546459999999</v>
      </c>
      <c r="AC91" s="29">
        <v>0</v>
      </c>
      <c r="AD91" s="29">
        <v>0</v>
      </c>
      <c r="AE91" s="29">
        <f>1691.654646/1000</f>
        <v>1.6916546459999999</v>
      </c>
      <c r="AF91" s="29">
        <v>0</v>
      </c>
      <c r="AG91" s="29">
        <v>0</v>
      </c>
      <c r="AH91" s="29">
        <v>0</v>
      </c>
      <c r="AI91" s="29">
        <v>0</v>
      </c>
      <c r="AJ91" s="29">
        <v>0</v>
      </c>
      <c r="AK91" s="29">
        <v>0</v>
      </c>
      <c r="AL91" s="29">
        <v>0</v>
      </c>
      <c r="AM91" s="29">
        <v>0</v>
      </c>
      <c r="AN91" s="29">
        <v>0</v>
      </c>
      <c r="AO91" s="29">
        <v>0</v>
      </c>
      <c r="AP91" s="29">
        <v>0</v>
      </c>
      <c r="AQ91" s="29">
        <v>0</v>
      </c>
      <c r="AR91" s="29">
        <v>0</v>
      </c>
      <c r="AS91" s="29">
        <v>0</v>
      </c>
      <c r="AT91" s="29">
        <v>0</v>
      </c>
      <c r="AU91" s="29">
        <v>0</v>
      </c>
      <c r="AV91" s="29">
        <v>0</v>
      </c>
      <c r="AW91" s="29">
        <v>0</v>
      </c>
      <c r="AX91" s="29">
        <v>0</v>
      </c>
      <c r="AY91" s="29">
        <v>0</v>
      </c>
      <c r="AZ91" s="29">
        <v>0</v>
      </c>
      <c r="BA91" s="29">
        <v>0</v>
      </c>
      <c r="BB91" s="29">
        <v>0</v>
      </c>
      <c r="BC91" s="29">
        <v>0</v>
      </c>
      <c r="BD91" s="29">
        <v>0</v>
      </c>
      <c r="BE91" s="29">
        <v>0</v>
      </c>
      <c r="BF91" s="29">
        <v>0</v>
      </c>
      <c r="BG91" s="29">
        <v>0</v>
      </c>
      <c r="BH91" s="29">
        <v>0</v>
      </c>
      <c r="BI91" s="29">
        <v>0</v>
      </c>
      <c r="BJ91" s="29">
        <v>0</v>
      </c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31">
        <f t="shared" si="48"/>
        <v>1.6916546459999999</v>
      </c>
      <c r="BV91" s="29">
        <v>0</v>
      </c>
      <c r="BW91" s="29">
        <v>0</v>
      </c>
      <c r="BX91" s="31">
        <f t="shared" ref="BX91" si="65">BI91+BD91+AY91+AT91+AJ91+AE91</f>
        <v>1.6916546459999999</v>
      </c>
      <c r="BY91" s="29">
        <v>0</v>
      </c>
      <c r="BZ91" s="53" t="s">
        <v>146</v>
      </c>
    </row>
    <row r="92" spans="1:78" s="13" customFormat="1" ht="47.25" x14ac:dyDescent="0.25">
      <c r="A92" s="27" t="s">
        <v>81</v>
      </c>
      <c r="B92" s="28" t="s">
        <v>82</v>
      </c>
      <c r="C92" s="26" t="s">
        <v>117</v>
      </c>
      <c r="D92" s="26" t="s">
        <v>117</v>
      </c>
      <c r="E92" s="26" t="s">
        <v>117</v>
      </c>
      <c r="F92" s="26" t="s">
        <v>117</v>
      </c>
      <c r="G92" s="26" t="s">
        <v>117</v>
      </c>
      <c r="H92" s="29">
        <v>0</v>
      </c>
      <c r="I92" s="29">
        <v>0</v>
      </c>
      <c r="J92" s="26" t="s">
        <v>117</v>
      </c>
      <c r="K92" s="26" t="s">
        <v>117</v>
      </c>
      <c r="L92" s="26" t="s">
        <v>117</v>
      </c>
      <c r="M92" s="29" t="s">
        <v>117</v>
      </c>
      <c r="N92" s="29" t="s">
        <v>117</v>
      </c>
      <c r="O92" s="29">
        <v>0</v>
      </c>
      <c r="P92" s="29" t="s">
        <v>117</v>
      </c>
      <c r="Q92" s="29" t="s">
        <v>117</v>
      </c>
      <c r="R92" s="29" t="s">
        <v>117</v>
      </c>
      <c r="S92" s="29" t="s">
        <v>117</v>
      </c>
      <c r="T92" s="29" t="s">
        <v>117</v>
      </c>
      <c r="U92" s="26" t="s">
        <v>117</v>
      </c>
      <c r="V92" s="29" t="s">
        <v>117</v>
      </c>
      <c r="W92" s="29" t="s">
        <v>117</v>
      </c>
      <c r="X92" s="29" t="s">
        <v>117</v>
      </c>
      <c r="Y92" s="29" t="s">
        <v>117</v>
      </c>
      <c r="Z92" s="29" t="s">
        <v>117</v>
      </c>
      <c r="AA92" s="29" t="s">
        <v>117</v>
      </c>
      <c r="AB92" s="29" t="s">
        <v>117</v>
      </c>
      <c r="AC92" s="29" t="s">
        <v>117</v>
      </c>
      <c r="AD92" s="29" t="s">
        <v>117</v>
      </c>
      <c r="AE92" s="29" t="s">
        <v>117</v>
      </c>
      <c r="AF92" s="29" t="s">
        <v>117</v>
      </c>
      <c r="AG92" s="29" t="s">
        <v>117</v>
      </c>
      <c r="AH92" s="29" t="s">
        <v>117</v>
      </c>
      <c r="AI92" s="29" t="s">
        <v>117</v>
      </c>
      <c r="AJ92" s="29" t="s">
        <v>117</v>
      </c>
      <c r="AK92" s="31">
        <v>0</v>
      </c>
      <c r="AL92" s="31">
        <v>0</v>
      </c>
      <c r="AM92" s="31">
        <v>0</v>
      </c>
      <c r="AN92" s="31">
        <v>0</v>
      </c>
      <c r="AO92" s="31">
        <v>0</v>
      </c>
      <c r="AP92" s="31">
        <v>0</v>
      </c>
      <c r="AQ92" s="33" t="s">
        <v>117</v>
      </c>
      <c r="AR92" s="33" t="s">
        <v>117</v>
      </c>
      <c r="AS92" s="33" t="s">
        <v>117</v>
      </c>
      <c r="AT92" s="33" t="s">
        <v>117</v>
      </c>
      <c r="AU92" s="33" t="s">
        <v>117</v>
      </c>
      <c r="AV92" s="33" t="s">
        <v>117</v>
      </c>
      <c r="AW92" s="33" t="s">
        <v>117</v>
      </c>
      <c r="AX92" s="33" t="s">
        <v>117</v>
      </c>
      <c r="AY92" s="33" t="s">
        <v>117</v>
      </c>
      <c r="AZ92" s="33" t="s">
        <v>117</v>
      </c>
      <c r="BA92" s="33" t="s">
        <v>117</v>
      </c>
      <c r="BB92" s="33" t="s">
        <v>117</v>
      </c>
      <c r="BC92" s="33" t="s">
        <v>117</v>
      </c>
      <c r="BD92" s="33" t="s">
        <v>117</v>
      </c>
      <c r="BE92" s="33" t="s">
        <v>117</v>
      </c>
      <c r="BF92" s="33" t="s">
        <v>117</v>
      </c>
      <c r="BG92" s="33" t="s">
        <v>117</v>
      </c>
      <c r="BH92" s="33" t="s">
        <v>117</v>
      </c>
      <c r="BI92" s="33" t="s">
        <v>117</v>
      </c>
      <c r="BJ92" s="33" t="s">
        <v>117</v>
      </c>
      <c r="BK92" s="33" t="s">
        <v>117</v>
      </c>
      <c r="BL92" s="33" t="s">
        <v>117</v>
      </c>
      <c r="BM92" s="33" t="s">
        <v>117</v>
      </c>
      <c r="BN92" s="33" t="s">
        <v>117</v>
      </c>
      <c r="BO92" s="33" t="s">
        <v>117</v>
      </c>
      <c r="BP92" s="33" t="s">
        <v>117</v>
      </c>
      <c r="BQ92" s="33" t="s">
        <v>117</v>
      </c>
      <c r="BR92" s="33" t="s">
        <v>117</v>
      </c>
      <c r="BS92" s="33" t="s">
        <v>117</v>
      </c>
      <c r="BT92" s="33" t="s">
        <v>117</v>
      </c>
      <c r="BU92" s="31">
        <f t="shared" si="48"/>
        <v>0</v>
      </c>
      <c r="BV92" s="29">
        <v>0</v>
      </c>
      <c r="BW92" s="29">
        <v>0</v>
      </c>
      <c r="BX92" s="31">
        <f t="shared" ref="BX92:BX112" si="66">O92</f>
        <v>0</v>
      </c>
      <c r="BY92" s="33" t="s">
        <v>117</v>
      </c>
      <c r="BZ92" s="26" t="s">
        <v>117</v>
      </c>
    </row>
    <row r="93" spans="1:78" s="13" customFormat="1" ht="47.25" x14ac:dyDescent="0.25">
      <c r="A93" s="27" t="s">
        <v>83</v>
      </c>
      <c r="B93" s="28" t="s">
        <v>84</v>
      </c>
      <c r="C93" s="26" t="s">
        <v>117</v>
      </c>
      <c r="D93" s="26" t="s">
        <v>117</v>
      </c>
      <c r="E93" s="26" t="s">
        <v>117</v>
      </c>
      <c r="F93" s="26" t="s">
        <v>117</v>
      </c>
      <c r="G93" s="26" t="s">
        <v>117</v>
      </c>
      <c r="H93" s="29">
        <v>0</v>
      </c>
      <c r="I93" s="29">
        <v>0</v>
      </c>
      <c r="J93" s="26" t="s">
        <v>117</v>
      </c>
      <c r="K93" s="26" t="s">
        <v>117</v>
      </c>
      <c r="L93" s="26" t="s">
        <v>117</v>
      </c>
      <c r="M93" s="29" t="s">
        <v>117</v>
      </c>
      <c r="N93" s="29" t="s">
        <v>117</v>
      </c>
      <c r="O93" s="29">
        <v>0</v>
      </c>
      <c r="P93" s="29" t="s">
        <v>117</v>
      </c>
      <c r="Q93" s="29" t="s">
        <v>117</v>
      </c>
      <c r="R93" s="29" t="s">
        <v>117</v>
      </c>
      <c r="S93" s="29" t="s">
        <v>117</v>
      </c>
      <c r="T93" s="29" t="s">
        <v>117</v>
      </c>
      <c r="U93" s="26" t="s">
        <v>117</v>
      </c>
      <c r="V93" s="29" t="s">
        <v>117</v>
      </c>
      <c r="W93" s="29" t="s">
        <v>117</v>
      </c>
      <c r="X93" s="29" t="s">
        <v>117</v>
      </c>
      <c r="Y93" s="29" t="s">
        <v>117</v>
      </c>
      <c r="Z93" s="29" t="s">
        <v>117</v>
      </c>
      <c r="AA93" s="29" t="s">
        <v>117</v>
      </c>
      <c r="AB93" s="29" t="s">
        <v>117</v>
      </c>
      <c r="AC93" s="29" t="s">
        <v>117</v>
      </c>
      <c r="AD93" s="29" t="s">
        <v>117</v>
      </c>
      <c r="AE93" s="29" t="s">
        <v>117</v>
      </c>
      <c r="AF93" s="29" t="s">
        <v>117</v>
      </c>
      <c r="AG93" s="29" t="s">
        <v>117</v>
      </c>
      <c r="AH93" s="29" t="s">
        <v>117</v>
      </c>
      <c r="AI93" s="29" t="s">
        <v>117</v>
      </c>
      <c r="AJ93" s="29" t="s">
        <v>117</v>
      </c>
      <c r="AK93" s="31">
        <v>0</v>
      </c>
      <c r="AL93" s="31">
        <v>0</v>
      </c>
      <c r="AM93" s="31">
        <v>0</v>
      </c>
      <c r="AN93" s="31">
        <v>0</v>
      </c>
      <c r="AO93" s="31">
        <v>0</v>
      </c>
      <c r="AP93" s="31">
        <v>0</v>
      </c>
      <c r="AQ93" s="33" t="s">
        <v>117</v>
      </c>
      <c r="AR93" s="33" t="s">
        <v>117</v>
      </c>
      <c r="AS93" s="33" t="s">
        <v>117</v>
      </c>
      <c r="AT93" s="33" t="s">
        <v>117</v>
      </c>
      <c r="AU93" s="33" t="s">
        <v>117</v>
      </c>
      <c r="AV93" s="33" t="s">
        <v>117</v>
      </c>
      <c r="AW93" s="33" t="s">
        <v>117</v>
      </c>
      <c r="AX93" s="33" t="s">
        <v>117</v>
      </c>
      <c r="AY93" s="33" t="s">
        <v>117</v>
      </c>
      <c r="AZ93" s="33" t="s">
        <v>117</v>
      </c>
      <c r="BA93" s="33" t="s">
        <v>117</v>
      </c>
      <c r="BB93" s="33" t="s">
        <v>117</v>
      </c>
      <c r="BC93" s="33" t="s">
        <v>117</v>
      </c>
      <c r="BD93" s="33" t="s">
        <v>117</v>
      </c>
      <c r="BE93" s="33" t="s">
        <v>117</v>
      </c>
      <c r="BF93" s="33" t="s">
        <v>117</v>
      </c>
      <c r="BG93" s="33" t="s">
        <v>117</v>
      </c>
      <c r="BH93" s="33" t="s">
        <v>117</v>
      </c>
      <c r="BI93" s="33" t="s">
        <v>117</v>
      </c>
      <c r="BJ93" s="33" t="s">
        <v>117</v>
      </c>
      <c r="BK93" s="33" t="s">
        <v>117</v>
      </c>
      <c r="BL93" s="33" t="s">
        <v>117</v>
      </c>
      <c r="BM93" s="33" t="s">
        <v>117</v>
      </c>
      <c r="BN93" s="33" t="s">
        <v>117</v>
      </c>
      <c r="BO93" s="33" t="s">
        <v>117</v>
      </c>
      <c r="BP93" s="33" t="s">
        <v>117</v>
      </c>
      <c r="BQ93" s="33" t="s">
        <v>117</v>
      </c>
      <c r="BR93" s="33" t="s">
        <v>117</v>
      </c>
      <c r="BS93" s="33" t="s">
        <v>117</v>
      </c>
      <c r="BT93" s="33" t="s">
        <v>117</v>
      </c>
      <c r="BU93" s="31">
        <f t="shared" si="48"/>
        <v>0</v>
      </c>
      <c r="BV93" s="29">
        <v>0</v>
      </c>
      <c r="BW93" s="29">
        <v>0</v>
      </c>
      <c r="BX93" s="31">
        <f t="shared" si="66"/>
        <v>0</v>
      </c>
      <c r="BY93" s="33" t="s">
        <v>117</v>
      </c>
      <c r="BZ93" s="26" t="s">
        <v>117</v>
      </c>
    </row>
    <row r="94" spans="1:78" s="13" customFormat="1" ht="31.5" x14ac:dyDescent="0.25">
      <c r="A94" s="27" t="s">
        <v>85</v>
      </c>
      <c r="B94" s="28" t="s">
        <v>86</v>
      </c>
      <c r="C94" s="26" t="s">
        <v>117</v>
      </c>
      <c r="D94" s="26" t="s">
        <v>117</v>
      </c>
      <c r="E94" s="26" t="s">
        <v>117</v>
      </c>
      <c r="F94" s="26" t="s">
        <v>117</v>
      </c>
      <c r="G94" s="26" t="s">
        <v>117</v>
      </c>
      <c r="H94" s="29">
        <v>0</v>
      </c>
      <c r="I94" s="29">
        <v>0</v>
      </c>
      <c r="J94" s="26" t="s">
        <v>117</v>
      </c>
      <c r="K94" s="26" t="s">
        <v>117</v>
      </c>
      <c r="L94" s="26" t="s">
        <v>117</v>
      </c>
      <c r="M94" s="29" t="s">
        <v>117</v>
      </c>
      <c r="N94" s="29" t="s">
        <v>117</v>
      </c>
      <c r="O94" s="29">
        <v>0</v>
      </c>
      <c r="P94" s="29" t="s">
        <v>117</v>
      </c>
      <c r="Q94" s="29" t="s">
        <v>117</v>
      </c>
      <c r="R94" s="29" t="s">
        <v>117</v>
      </c>
      <c r="S94" s="29" t="s">
        <v>117</v>
      </c>
      <c r="T94" s="29" t="s">
        <v>117</v>
      </c>
      <c r="U94" s="26" t="s">
        <v>117</v>
      </c>
      <c r="V94" s="29" t="s">
        <v>117</v>
      </c>
      <c r="W94" s="29" t="s">
        <v>117</v>
      </c>
      <c r="X94" s="29" t="s">
        <v>117</v>
      </c>
      <c r="Y94" s="29" t="s">
        <v>117</v>
      </c>
      <c r="Z94" s="29" t="s">
        <v>117</v>
      </c>
      <c r="AA94" s="29" t="s">
        <v>117</v>
      </c>
      <c r="AB94" s="29" t="s">
        <v>117</v>
      </c>
      <c r="AC94" s="29" t="s">
        <v>117</v>
      </c>
      <c r="AD94" s="29" t="s">
        <v>117</v>
      </c>
      <c r="AE94" s="29" t="s">
        <v>117</v>
      </c>
      <c r="AF94" s="29" t="s">
        <v>117</v>
      </c>
      <c r="AG94" s="29" t="s">
        <v>117</v>
      </c>
      <c r="AH94" s="29" t="s">
        <v>117</v>
      </c>
      <c r="AI94" s="29" t="s">
        <v>117</v>
      </c>
      <c r="AJ94" s="29" t="s">
        <v>117</v>
      </c>
      <c r="AK94" s="31">
        <v>0</v>
      </c>
      <c r="AL94" s="31">
        <v>0</v>
      </c>
      <c r="AM94" s="31">
        <v>0</v>
      </c>
      <c r="AN94" s="31">
        <v>0</v>
      </c>
      <c r="AO94" s="31">
        <v>0</v>
      </c>
      <c r="AP94" s="31">
        <v>0</v>
      </c>
      <c r="AQ94" s="33" t="s">
        <v>117</v>
      </c>
      <c r="AR94" s="33" t="s">
        <v>117</v>
      </c>
      <c r="AS94" s="33" t="s">
        <v>117</v>
      </c>
      <c r="AT94" s="33" t="s">
        <v>117</v>
      </c>
      <c r="AU94" s="33" t="s">
        <v>117</v>
      </c>
      <c r="AV94" s="33" t="s">
        <v>117</v>
      </c>
      <c r="AW94" s="33" t="s">
        <v>117</v>
      </c>
      <c r="AX94" s="33" t="s">
        <v>117</v>
      </c>
      <c r="AY94" s="33" t="s">
        <v>117</v>
      </c>
      <c r="AZ94" s="33" t="s">
        <v>117</v>
      </c>
      <c r="BA94" s="33" t="s">
        <v>117</v>
      </c>
      <c r="BB94" s="33" t="s">
        <v>117</v>
      </c>
      <c r="BC94" s="33" t="s">
        <v>117</v>
      </c>
      <c r="BD94" s="33" t="s">
        <v>117</v>
      </c>
      <c r="BE94" s="33" t="s">
        <v>117</v>
      </c>
      <c r="BF94" s="33" t="s">
        <v>117</v>
      </c>
      <c r="BG94" s="33" t="s">
        <v>117</v>
      </c>
      <c r="BH94" s="33" t="s">
        <v>117</v>
      </c>
      <c r="BI94" s="33" t="s">
        <v>117</v>
      </c>
      <c r="BJ94" s="33" t="s">
        <v>117</v>
      </c>
      <c r="BK94" s="33" t="s">
        <v>117</v>
      </c>
      <c r="BL94" s="33" t="s">
        <v>117</v>
      </c>
      <c r="BM94" s="33" t="s">
        <v>117</v>
      </c>
      <c r="BN94" s="33" t="s">
        <v>117</v>
      </c>
      <c r="BO94" s="33" t="s">
        <v>117</v>
      </c>
      <c r="BP94" s="33" t="s">
        <v>117</v>
      </c>
      <c r="BQ94" s="33" t="s">
        <v>117</v>
      </c>
      <c r="BR94" s="33" t="s">
        <v>117</v>
      </c>
      <c r="BS94" s="33" t="s">
        <v>117</v>
      </c>
      <c r="BT94" s="33" t="s">
        <v>117</v>
      </c>
      <c r="BU94" s="31">
        <f t="shared" si="48"/>
        <v>0</v>
      </c>
      <c r="BV94" s="29">
        <v>0</v>
      </c>
      <c r="BW94" s="29">
        <v>0</v>
      </c>
      <c r="BX94" s="31">
        <f t="shared" si="66"/>
        <v>0</v>
      </c>
      <c r="BY94" s="33" t="s">
        <v>117</v>
      </c>
      <c r="BZ94" s="26" t="s">
        <v>117</v>
      </c>
    </row>
    <row r="95" spans="1:78" s="13" customFormat="1" ht="31.5" x14ac:dyDescent="0.25">
      <c r="A95" s="27" t="s">
        <v>87</v>
      </c>
      <c r="B95" s="28" t="s">
        <v>88</v>
      </c>
      <c r="C95" s="26" t="s">
        <v>117</v>
      </c>
      <c r="D95" s="26" t="s">
        <v>117</v>
      </c>
      <c r="E95" s="26" t="s">
        <v>117</v>
      </c>
      <c r="F95" s="26" t="s">
        <v>117</v>
      </c>
      <c r="G95" s="26" t="s">
        <v>117</v>
      </c>
      <c r="H95" s="29">
        <v>0</v>
      </c>
      <c r="I95" s="29">
        <v>0</v>
      </c>
      <c r="J95" s="26" t="s">
        <v>117</v>
      </c>
      <c r="K95" s="26" t="s">
        <v>117</v>
      </c>
      <c r="L95" s="26" t="s">
        <v>117</v>
      </c>
      <c r="M95" s="29" t="s">
        <v>117</v>
      </c>
      <c r="N95" s="29" t="s">
        <v>117</v>
      </c>
      <c r="O95" s="29">
        <v>0</v>
      </c>
      <c r="P95" s="29" t="s">
        <v>117</v>
      </c>
      <c r="Q95" s="29" t="s">
        <v>117</v>
      </c>
      <c r="R95" s="29" t="s">
        <v>117</v>
      </c>
      <c r="S95" s="29" t="s">
        <v>117</v>
      </c>
      <c r="T95" s="29" t="s">
        <v>117</v>
      </c>
      <c r="U95" s="26" t="s">
        <v>117</v>
      </c>
      <c r="V95" s="29" t="s">
        <v>117</v>
      </c>
      <c r="W95" s="29" t="s">
        <v>117</v>
      </c>
      <c r="X95" s="29" t="s">
        <v>117</v>
      </c>
      <c r="Y95" s="29" t="s">
        <v>117</v>
      </c>
      <c r="Z95" s="29" t="s">
        <v>117</v>
      </c>
      <c r="AA95" s="29" t="s">
        <v>117</v>
      </c>
      <c r="AB95" s="29" t="s">
        <v>117</v>
      </c>
      <c r="AC95" s="29" t="s">
        <v>117</v>
      </c>
      <c r="AD95" s="29" t="s">
        <v>117</v>
      </c>
      <c r="AE95" s="29" t="s">
        <v>117</v>
      </c>
      <c r="AF95" s="29" t="s">
        <v>117</v>
      </c>
      <c r="AG95" s="29" t="s">
        <v>117</v>
      </c>
      <c r="AH95" s="29" t="s">
        <v>117</v>
      </c>
      <c r="AI95" s="29" t="s">
        <v>117</v>
      </c>
      <c r="AJ95" s="29" t="s">
        <v>117</v>
      </c>
      <c r="AK95" s="31">
        <v>0</v>
      </c>
      <c r="AL95" s="31">
        <v>0</v>
      </c>
      <c r="AM95" s="31">
        <v>0</v>
      </c>
      <c r="AN95" s="31">
        <v>0</v>
      </c>
      <c r="AO95" s="31">
        <v>0</v>
      </c>
      <c r="AP95" s="31">
        <v>0</v>
      </c>
      <c r="AQ95" s="33" t="s">
        <v>117</v>
      </c>
      <c r="AR95" s="33" t="s">
        <v>117</v>
      </c>
      <c r="AS95" s="33" t="s">
        <v>117</v>
      </c>
      <c r="AT95" s="33" t="s">
        <v>117</v>
      </c>
      <c r="AU95" s="33" t="s">
        <v>117</v>
      </c>
      <c r="AV95" s="33" t="s">
        <v>117</v>
      </c>
      <c r="AW95" s="33" t="s">
        <v>117</v>
      </c>
      <c r="AX95" s="33" t="s">
        <v>117</v>
      </c>
      <c r="AY95" s="33" t="s">
        <v>117</v>
      </c>
      <c r="AZ95" s="33" t="s">
        <v>117</v>
      </c>
      <c r="BA95" s="33" t="s">
        <v>117</v>
      </c>
      <c r="BB95" s="33" t="s">
        <v>117</v>
      </c>
      <c r="BC95" s="33" t="s">
        <v>117</v>
      </c>
      <c r="BD95" s="33" t="s">
        <v>117</v>
      </c>
      <c r="BE95" s="33" t="s">
        <v>117</v>
      </c>
      <c r="BF95" s="33" t="s">
        <v>117</v>
      </c>
      <c r="BG95" s="33" t="s">
        <v>117</v>
      </c>
      <c r="BH95" s="33" t="s">
        <v>117</v>
      </c>
      <c r="BI95" s="33" t="s">
        <v>117</v>
      </c>
      <c r="BJ95" s="33" t="s">
        <v>117</v>
      </c>
      <c r="BK95" s="33" t="s">
        <v>117</v>
      </c>
      <c r="BL95" s="33" t="s">
        <v>117</v>
      </c>
      <c r="BM95" s="33" t="s">
        <v>117</v>
      </c>
      <c r="BN95" s="33" t="s">
        <v>117</v>
      </c>
      <c r="BO95" s="33" t="s">
        <v>117</v>
      </c>
      <c r="BP95" s="33" t="s">
        <v>117</v>
      </c>
      <c r="BQ95" s="33" t="s">
        <v>117</v>
      </c>
      <c r="BR95" s="33" t="s">
        <v>117</v>
      </c>
      <c r="BS95" s="33" t="s">
        <v>117</v>
      </c>
      <c r="BT95" s="33" t="s">
        <v>117</v>
      </c>
      <c r="BU95" s="31">
        <f t="shared" si="48"/>
        <v>0</v>
      </c>
      <c r="BV95" s="29">
        <v>0</v>
      </c>
      <c r="BW95" s="29">
        <v>0</v>
      </c>
      <c r="BX95" s="31">
        <f t="shared" si="66"/>
        <v>0</v>
      </c>
      <c r="BY95" s="33" t="s">
        <v>117</v>
      </c>
      <c r="BZ95" s="26" t="s">
        <v>117</v>
      </c>
    </row>
    <row r="96" spans="1:78" s="13" customFormat="1" ht="47.25" x14ac:dyDescent="0.25">
      <c r="A96" s="27" t="s">
        <v>89</v>
      </c>
      <c r="B96" s="28" t="s">
        <v>90</v>
      </c>
      <c r="C96" s="26" t="s">
        <v>117</v>
      </c>
      <c r="D96" s="26" t="s">
        <v>117</v>
      </c>
      <c r="E96" s="26" t="s">
        <v>117</v>
      </c>
      <c r="F96" s="26" t="s">
        <v>117</v>
      </c>
      <c r="G96" s="26" t="s">
        <v>117</v>
      </c>
      <c r="H96" s="29">
        <v>0</v>
      </c>
      <c r="I96" s="29">
        <v>0</v>
      </c>
      <c r="J96" s="26" t="s">
        <v>117</v>
      </c>
      <c r="K96" s="26" t="s">
        <v>117</v>
      </c>
      <c r="L96" s="26" t="s">
        <v>117</v>
      </c>
      <c r="M96" s="29" t="s">
        <v>117</v>
      </c>
      <c r="N96" s="29" t="s">
        <v>117</v>
      </c>
      <c r="O96" s="29">
        <v>0</v>
      </c>
      <c r="P96" s="29" t="s">
        <v>117</v>
      </c>
      <c r="Q96" s="29" t="s">
        <v>117</v>
      </c>
      <c r="R96" s="29" t="s">
        <v>117</v>
      </c>
      <c r="S96" s="29" t="s">
        <v>117</v>
      </c>
      <c r="T96" s="29" t="s">
        <v>117</v>
      </c>
      <c r="U96" s="26" t="s">
        <v>117</v>
      </c>
      <c r="V96" s="29" t="s">
        <v>117</v>
      </c>
      <c r="W96" s="29" t="s">
        <v>117</v>
      </c>
      <c r="X96" s="29" t="s">
        <v>117</v>
      </c>
      <c r="Y96" s="29" t="s">
        <v>117</v>
      </c>
      <c r="Z96" s="29" t="s">
        <v>117</v>
      </c>
      <c r="AA96" s="29" t="s">
        <v>117</v>
      </c>
      <c r="AB96" s="29" t="s">
        <v>117</v>
      </c>
      <c r="AC96" s="29" t="s">
        <v>117</v>
      </c>
      <c r="AD96" s="29" t="s">
        <v>117</v>
      </c>
      <c r="AE96" s="29" t="s">
        <v>117</v>
      </c>
      <c r="AF96" s="29" t="s">
        <v>117</v>
      </c>
      <c r="AG96" s="29" t="s">
        <v>117</v>
      </c>
      <c r="AH96" s="29" t="s">
        <v>117</v>
      </c>
      <c r="AI96" s="29" t="s">
        <v>117</v>
      </c>
      <c r="AJ96" s="29" t="s">
        <v>117</v>
      </c>
      <c r="AK96" s="31">
        <v>0</v>
      </c>
      <c r="AL96" s="31">
        <v>0</v>
      </c>
      <c r="AM96" s="31">
        <v>0</v>
      </c>
      <c r="AN96" s="31">
        <v>0</v>
      </c>
      <c r="AO96" s="31">
        <v>0</v>
      </c>
      <c r="AP96" s="31">
        <v>0</v>
      </c>
      <c r="AQ96" s="33" t="s">
        <v>117</v>
      </c>
      <c r="AR96" s="33" t="s">
        <v>117</v>
      </c>
      <c r="AS96" s="33" t="s">
        <v>117</v>
      </c>
      <c r="AT96" s="33" t="s">
        <v>117</v>
      </c>
      <c r="AU96" s="33" t="s">
        <v>117</v>
      </c>
      <c r="AV96" s="33" t="s">
        <v>117</v>
      </c>
      <c r="AW96" s="33" t="s">
        <v>117</v>
      </c>
      <c r="AX96" s="33" t="s">
        <v>117</v>
      </c>
      <c r="AY96" s="33" t="s">
        <v>117</v>
      </c>
      <c r="AZ96" s="33" t="s">
        <v>117</v>
      </c>
      <c r="BA96" s="33" t="s">
        <v>117</v>
      </c>
      <c r="BB96" s="33" t="s">
        <v>117</v>
      </c>
      <c r="BC96" s="33" t="s">
        <v>117</v>
      </c>
      <c r="BD96" s="33" t="s">
        <v>117</v>
      </c>
      <c r="BE96" s="33" t="s">
        <v>117</v>
      </c>
      <c r="BF96" s="33" t="s">
        <v>117</v>
      </c>
      <c r="BG96" s="33" t="s">
        <v>117</v>
      </c>
      <c r="BH96" s="33" t="s">
        <v>117</v>
      </c>
      <c r="BI96" s="33" t="s">
        <v>117</v>
      </c>
      <c r="BJ96" s="33" t="s">
        <v>117</v>
      </c>
      <c r="BK96" s="33" t="s">
        <v>117</v>
      </c>
      <c r="BL96" s="33" t="s">
        <v>117</v>
      </c>
      <c r="BM96" s="33" t="s">
        <v>117</v>
      </c>
      <c r="BN96" s="33" t="s">
        <v>117</v>
      </c>
      <c r="BO96" s="33" t="s">
        <v>117</v>
      </c>
      <c r="BP96" s="33" t="s">
        <v>117</v>
      </c>
      <c r="BQ96" s="33" t="s">
        <v>117</v>
      </c>
      <c r="BR96" s="33" t="s">
        <v>117</v>
      </c>
      <c r="BS96" s="33" t="s">
        <v>117</v>
      </c>
      <c r="BT96" s="33" t="s">
        <v>117</v>
      </c>
      <c r="BU96" s="31">
        <f t="shared" si="48"/>
        <v>0</v>
      </c>
      <c r="BV96" s="29">
        <v>0</v>
      </c>
      <c r="BW96" s="29">
        <v>0</v>
      </c>
      <c r="BX96" s="31">
        <f t="shared" si="66"/>
        <v>0</v>
      </c>
      <c r="BY96" s="33" t="s">
        <v>117</v>
      </c>
      <c r="BZ96" s="26" t="s">
        <v>117</v>
      </c>
    </row>
    <row r="97" spans="1:78" s="13" customFormat="1" ht="63" x14ac:dyDescent="0.25">
      <c r="A97" s="27" t="s">
        <v>91</v>
      </c>
      <c r="B97" s="28" t="s">
        <v>92</v>
      </c>
      <c r="C97" s="26" t="s">
        <v>117</v>
      </c>
      <c r="D97" s="26" t="s">
        <v>117</v>
      </c>
      <c r="E97" s="26" t="s">
        <v>117</v>
      </c>
      <c r="F97" s="26" t="s">
        <v>117</v>
      </c>
      <c r="G97" s="26" t="s">
        <v>117</v>
      </c>
      <c r="H97" s="29">
        <v>0</v>
      </c>
      <c r="I97" s="29">
        <v>0</v>
      </c>
      <c r="J97" s="26" t="s">
        <v>117</v>
      </c>
      <c r="K97" s="26" t="s">
        <v>117</v>
      </c>
      <c r="L97" s="26" t="s">
        <v>117</v>
      </c>
      <c r="M97" s="29" t="s">
        <v>117</v>
      </c>
      <c r="N97" s="29" t="s">
        <v>117</v>
      </c>
      <c r="O97" s="29">
        <v>0</v>
      </c>
      <c r="P97" s="29" t="s">
        <v>117</v>
      </c>
      <c r="Q97" s="29" t="s">
        <v>117</v>
      </c>
      <c r="R97" s="29" t="s">
        <v>117</v>
      </c>
      <c r="S97" s="29" t="s">
        <v>117</v>
      </c>
      <c r="T97" s="29" t="s">
        <v>117</v>
      </c>
      <c r="U97" s="26" t="s">
        <v>117</v>
      </c>
      <c r="V97" s="29" t="s">
        <v>117</v>
      </c>
      <c r="W97" s="29" t="s">
        <v>117</v>
      </c>
      <c r="X97" s="29" t="s">
        <v>117</v>
      </c>
      <c r="Y97" s="29" t="s">
        <v>117</v>
      </c>
      <c r="Z97" s="29" t="s">
        <v>117</v>
      </c>
      <c r="AA97" s="29" t="s">
        <v>117</v>
      </c>
      <c r="AB97" s="29" t="s">
        <v>117</v>
      </c>
      <c r="AC97" s="29" t="s">
        <v>117</v>
      </c>
      <c r="AD97" s="29" t="s">
        <v>117</v>
      </c>
      <c r="AE97" s="29" t="s">
        <v>117</v>
      </c>
      <c r="AF97" s="29" t="s">
        <v>117</v>
      </c>
      <c r="AG97" s="29" t="s">
        <v>117</v>
      </c>
      <c r="AH97" s="29" t="s">
        <v>117</v>
      </c>
      <c r="AI97" s="29" t="s">
        <v>117</v>
      </c>
      <c r="AJ97" s="29" t="s">
        <v>117</v>
      </c>
      <c r="AK97" s="31">
        <v>0</v>
      </c>
      <c r="AL97" s="31">
        <v>0</v>
      </c>
      <c r="AM97" s="31">
        <v>0</v>
      </c>
      <c r="AN97" s="31">
        <v>0</v>
      </c>
      <c r="AO97" s="31">
        <v>0</v>
      </c>
      <c r="AP97" s="31">
        <v>0</v>
      </c>
      <c r="AQ97" s="33" t="s">
        <v>117</v>
      </c>
      <c r="AR97" s="33" t="s">
        <v>117</v>
      </c>
      <c r="AS97" s="33" t="s">
        <v>117</v>
      </c>
      <c r="AT97" s="33" t="s">
        <v>117</v>
      </c>
      <c r="AU97" s="33" t="s">
        <v>117</v>
      </c>
      <c r="AV97" s="33" t="s">
        <v>117</v>
      </c>
      <c r="AW97" s="33" t="s">
        <v>117</v>
      </c>
      <c r="AX97" s="33" t="s">
        <v>117</v>
      </c>
      <c r="AY97" s="33" t="s">
        <v>117</v>
      </c>
      <c r="AZ97" s="33" t="s">
        <v>117</v>
      </c>
      <c r="BA97" s="33" t="s">
        <v>117</v>
      </c>
      <c r="BB97" s="33" t="s">
        <v>117</v>
      </c>
      <c r="BC97" s="33" t="s">
        <v>117</v>
      </c>
      <c r="BD97" s="33" t="s">
        <v>117</v>
      </c>
      <c r="BE97" s="33" t="s">
        <v>117</v>
      </c>
      <c r="BF97" s="33" t="s">
        <v>117</v>
      </c>
      <c r="BG97" s="33" t="s">
        <v>117</v>
      </c>
      <c r="BH97" s="33" t="s">
        <v>117</v>
      </c>
      <c r="BI97" s="33" t="s">
        <v>117</v>
      </c>
      <c r="BJ97" s="33" t="s">
        <v>117</v>
      </c>
      <c r="BK97" s="33" t="s">
        <v>117</v>
      </c>
      <c r="BL97" s="33" t="s">
        <v>117</v>
      </c>
      <c r="BM97" s="33" t="s">
        <v>117</v>
      </c>
      <c r="BN97" s="33" t="s">
        <v>117</v>
      </c>
      <c r="BO97" s="33" t="s">
        <v>117</v>
      </c>
      <c r="BP97" s="33" t="s">
        <v>117</v>
      </c>
      <c r="BQ97" s="33" t="s">
        <v>117</v>
      </c>
      <c r="BR97" s="33" t="s">
        <v>117</v>
      </c>
      <c r="BS97" s="33" t="s">
        <v>117</v>
      </c>
      <c r="BT97" s="33" t="s">
        <v>117</v>
      </c>
      <c r="BU97" s="31">
        <f t="shared" si="48"/>
        <v>0</v>
      </c>
      <c r="BV97" s="29">
        <v>0</v>
      </c>
      <c r="BW97" s="29">
        <v>0</v>
      </c>
      <c r="BX97" s="31">
        <f t="shared" si="66"/>
        <v>0</v>
      </c>
      <c r="BY97" s="33" t="s">
        <v>117</v>
      </c>
      <c r="BZ97" s="26" t="s">
        <v>117</v>
      </c>
    </row>
    <row r="98" spans="1:78" s="13" customFormat="1" ht="47.25" x14ac:dyDescent="0.25">
      <c r="A98" s="27" t="s">
        <v>93</v>
      </c>
      <c r="B98" s="28" t="s">
        <v>94</v>
      </c>
      <c r="C98" s="26" t="s">
        <v>117</v>
      </c>
      <c r="D98" s="26" t="s">
        <v>117</v>
      </c>
      <c r="E98" s="26" t="s">
        <v>117</v>
      </c>
      <c r="F98" s="26" t="s">
        <v>117</v>
      </c>
      <c r="G98" s="26" t="s">
        <v>117</v>
      </c>
      <c r="H98" s="29">
        <v>0</v>
      </c>
      <c r="I98" s="29">
        <v>0</v>
      </c>
      <c r="J98" s="26" t="s">
        <v>117</v>
      </c>
      <c r="K98" s="26" t="s">
        <v>117</v>
      </c>
      <c r="L98" s="26" t="s">
        <v>117</v>
      </c>
      <c r="M98" s="29" t="s">
        <v>117</v>
      </c>
      <c r="N98" s="29" t="s">
        <v>117</v>
      </c>
      <c r="O98" s="29">
        <v>0</v>
      </c>
      <c r="P98" s="29" t="s">
        <v>117</v>
      </c>
      <c r="Q98" s="29" t="s">
        <v>117</v>
      </c>
      <c r="R98" s="29" t="s">
        <v>117</v>
      </c>
      <c r="S98" s="29" t="s">
        <v>117</v>
      </c>
      <c r="T98" s="29" t="s">
        <v>117</v>
      </c>
      <c r="U98" s="26" t="s">
        <v>117</v>
      </c>
      <c r="V98" s="29" t="s">
        <v>117</v>
      </c>
      <c r="W98" s="29" t="s">
        <v>117</v>
      </c>
      <c r="X98" s="29" t="s">
        <v>117</v>
      </c>
      <c r="Y98" s="29" t="s">
        <v>117</v>
      </c>
      <c r="Z98" s="29" t="s">
        <v>117</v>
      </c>
      <c r="AA98" s="29" t="s">
        <v>117</v>
      </c>
      <c r="AB98" s="29" t="s">
        <v>117</v>
      </c>
      <c r="AC98" s="29" t="s">
        <v>117</v>
      </c>
      <c r="AD98" s="29" t="s">
        <v>117</v>
      </c>
      <c r="AE98" s="29" t="s">
        <v>117</v>
      </c>
      <c r="AF98" s="29" t="s">
        <v>117</v>
      </c>
      <c r="AG98" s="29" t="s">
        <v>117</v>
      </c>
      <c r="AH98" s="29" t="s">
        <v>117</v>
      </c>
      <c r="AI98" s="29" t="s">
        <v>117</v>
      </c>
      <c r="AJ98" s="29" t="s">
        <v>117</v>
      </c>
      <c r="AK98" s="31">
        <v>0</v>
      </c>
      <c r="AL98" s="31">
        <v>0</v>
      </c>
      <c r="AM98" s="31">
        <v>0</v>
      </c>
      <c r="AN98" s="31">
        <v>0</v>
      </c>
      <c r="AO98" s="31">
        <v>0</v>
      </c>
      <c r="AP98" s="31">
        <v>0</v>
      </c>
      <c r="AQ98" s="33" t="s">
        <v>117</v>
      </c>
      <c r="AR98" s="33" t="s">
        <v>117</v>
      </c>
      <c r="AS98" s="33" t="s">
        <v>117</v>
      </c>
      <c r="AT98" s="33" t="s">
        <v>117</v>
      </c>
      <c r="AU98" s="33" t="s">
        <v>117</v>
      </c>
      <c r="AV98" s="33" t="s">
        <v>117</v>
      </c>
      <c r="AW98" s="33" t="s">
        <v>117</v>
      </c>
      <c r="AX98" s="33" t="s">
        <v>117</v>
      </c>
      <c r="AY98" s="33" t="s">
        <v>117</v>
      </c>
      <c r="AZ98" s="33" t="s">
        <v>117</v>
      </c>
      <c r="BA98" s="33" t="s">
        <v>117</v>
      </c>
      <c r="BB98" s="33" t="s">
        <v>117</v>
      </c>
      <c r="BC98" s="33" t="s">
        <v>117</v>
      </c>
      <c r="BD98" s="33" t="s">
        <v>117</v>
      </c>
      <c r="BE98" s="33" t="s">
        <v>117</v>
      </c>
      <c r="BF98" s="33" t="s">
        <v>117</v>
      </c>
      <c r="BG98" s="33" t="s">
        <v>117</v>
      </c>
      <c r="BH98" s="33" t="s">
        <v>117</v>
      </c>
      <c r="BI98" s="33" t="s">
        <v>117</v>
      </c>
      <c r="BJ98" s="33" t="s">
        <v>117</v>
      </c>
      <c r="BK98" s="33" t="s">
        <v>117</v>
      </c>
      <c r="BL98" s="33" t="s">
        <v>117</v>
      </c>
      <c r="BM98" s="33" t="s">
        <v>117</v>
      </c>
      <c r="BN98" s="33" t="s">
        <v>117</v>
      </c>
      <c r="BO98" s="33" t="s">
        <v>117</v>
      </c>
      <c r="BP98" s="33" t="s">
        <v>117</v>
      </c>
      <c r="BQ98" s="33" t="s">
        <v>117</v>
      </c>
      <c r="BR98" s="33" t="s">
        <v>117</v>
      </c>
      <c r="BS98" s="33" t="s">
        <v>117</v>
      </c>
      <c r="BT98" s="33" t="s">
        <v>117</v>
      </c>
      <c r="BU98" s="31">
        <f t="shared" si="48"/>
        <v>0</v>
      </c>
      <c r="BV98" s="29">
        <v>0</v>
      </c>
      <c r="BW98" s="29">
        <v>0</v>
      </c>
      <c r="BX98" s="31">
        <f t="shared" si="66"/>
        <v>0</v>
      </c>
      <c r="BY98" s="33" t="s">
        <v>117</v>
      </c>
      <c r="BZ98" s="26" t="s">
        <v>117</v>
      </c>
    </row>
    <row r="99" spans="1:78" s="13" customFormat="1" ht="47.25" x14ac:dyDescent="0.25">
      <c r="A99" s="27" t="s">
        <v>95</v>
      </c>
      <c r="B99" s="28" t="s">
        <v>96</v>
      </c>
      <c r="C99" s="26" t="s">
        <v>117</v>
      </c>
      <c r="D99" s="26" t="s">
        <v>117</v>
      </c>
      <c r="E99" s="26" t="s">
        <v>117</v>
      </c>
      <c r="F99" s="26" t="s">
        <v>117</v>
      </c>
      <c r="G99" s="26" t="s">
        <v>117</v>
      </c>
      <c r="H99" s="29">
        <v>0</v>
      </c>
      <c r="I99" s="29">
        <v>0</v>
      </c>
      <c r="J99" s="26" t="s">
        <v>117</v>
      </c>
      <c r="K99" s="26" t="s">
        <v>117</v>
      </c>
      <c r="L99" s="26" t="s">
        <v>117</v>
      </c>
      <c r="M99" s="29" t="s">
        <v>117</v>
      </c>
      <c r="N99" s="29" t="s">
        <v>117</v>
      </c>
      <c r="O99" s="29">
        <v>0</v>
      </c>
      <c r="P99" s="29" t="s">
        <v>117</v>
      </c>
      <c r="Q99" s="29" t="s">
        <v>117</v>
      </c>
      <c r="R99" s="29" t="s">
        <v>117</v>
      </c>
      <c r="S99" s="29" t="s">
        <v>117</v>
      </c>
      <c r="T99" s="29" t="s">
        <v>117</v>
      </c>
      <c r="U99" s="26" t="s">
        <v>117</v>
      </c>
      <c r="V99" s="29" t="s">
        <v>117</v>
      </c>
      <c r="W99" s="29" t="s">
        <v>117</v>
      </c>
      <c r="X99" s="29" t="s">
        <v>117</v>
      </c>
      <c r="Y99" s="29" t="s">
        <v>117</v>
      </c>
      <c r="Z99" s="29" t="s">
        <v>117</v>
      </c>
      <c r="AA99" s="29" t="s">
        <v>117</v>
      </c>
      <c r="AB99" s="29" t="s">
        <v>117</v>
      </c>
      <c r="AC99" s="29" t="s">
        <v>117</v>
      </c>
      <c r="AD99" s="29" t="s">
        <v>117</v>
      </c>
      <c r="AE99" s="29" t="s">
        <v>117</v>
      </c>
      <c r="AF99" s="29" t="s">
        <v>117</v>
      </c>
      <c r="AG99" s="29" t="s">
        <v>117</v>
      </c>
      <c r="AH99" s="29" t="s">
        <v>117</v>
      </c>
      <c r="AI99" s="29" t="s">
        <v>117</v>
      </c>
      <c r="AJ99" s="29" t="s">
        <v>117</v>
      </c>
      <c r="AK99" s="31">
        <v>0</v>
      </c>
      <c r="AL99" s="31">
        <v>0</v>
      </c>
      <c r="AM99" s="31">
        <v>0</v>
      </c>
      <c r="AN99" s="31">
        <v>0</v>
      </c>
      <c r="AO99" s="31">
        <v>0</v>
      </c>
      <c r="AP99" s="31">
        <v>0</v>
      </c>
      <c r="AQ99" s="33" t="s">
        <v>117</v>
      </c>
      <c r="AR99" s="33" t="s">
        <v>117</v>
      </c>
      <c r="AS99" s="33" t="s">
        <v>117</v>
      </c>
      <c r="AT99" s="33" t="s">
        <v>117</v>
      </c>
      <c r="AU99" s="33" t="s">
        <v>117</v>
      </c>
      <c r="AV99" s="33" t="s">
        <v>117</v>
      </c>
      <c r="AW99" s="33" t="s">
        <v>117</v>
      </c>
      <c r="AX99" s="33" t="s">
        <v>117</v>
      </c>
      <c r="AY99" s="33" t="s">
        <v>117</v>
      </c>
      <c r="AZ99" s="33" t="s">
        <v>117</v>
      </c>
      <c r="BA99" s="33" t="s">
        <v>117</v>
      </c>
      <c r="BB99" s="33" t="s">
        <v>117</v>
      </c>
      <c r="BC99" s="33" t="s">
        <v>117</v>
      </c>
      <c r="BD99" s="33" t="s">
        <v>117</v>
      </c>
      <c r="BE99" s="33" t="s">
        <v>117</v>
      </c>
      <c r="BF99" s="33" t="s">
        <v>117</v>
      </c>
      <c r="BG99" s="33" t="s">
        <v>117</v>
      </c>
      <c r="BH99" s="33" t="s">
        <v>117</v>
      </c>
      <c r="BI99" s="33" t="s">
        <v>117</v>
      </c>
      <c r="BJ99" s="33" t="s">
        <v>117</v>
      </c>
      <c r="BK99" s="33" t="s">
        <v>117</v>
      </c>
      <c r="BL99" s="33" t="s">
        <v>117</v>
      </c>
      <c r="BM99" s="33" t="s">
        <v>117</v>
      </c>
      <c r="BN99" s="33" t="s">
        <v>117</v>
      </c>
      <c r="BO99" s="33" t="s">
        <v>117</v>
      </c>
      <c r="BP99" s="33" t="s">
        <v>117</v>
      </c>
      <c r="BQ99" s="33" t="s">
        <v>117</v>
      </c>
      <c r="BR99" s="33" t="s">
        <v>117</v>
      </c>
      <c r="BS99" s="33" t="s">
        <v>117</v>
      </c>
      <c r="BT99" s="33" t="s">
        <v>117</v>
      </c>
      <c r="BU99" s="31">
        <f t="shared" si="48"/>
        <v>0</v>
      </c>
      <c r="BV99" s="29">
        <v>0</v>
      </c>
      <c r="BW99" s="29">
        <v>0</v>
      </c>
      <c r="BX99" s="31">
        <f t="shared" si="66"/>
        <v>0</v>
      </c>
      <c r="BY99" s="33" t="s">
        <v>117</v>
      </c>
      <c r="BZ99" s="26" t="s">
        <v>117</v>
      </c>
    </row>
    <row r="100" spans="1:78" s="13" customFormat="1" ht="63" x14ac:dyDescent="0.25">
      <c r="A100" s="27" t="s">
        <v>97</v>
      </c>
      <c r="B100" s="28" t="s">
        <v>98</v>
      </c>
      <c r="C100" s="26" t="s">
        <v>117</v>
      </c>
      <c r="D100" s="26" t="s">
        <v>117</v>
      </c>
      <c r="E100" s="26" t="s">
        <v>117</v>
      </c>
      <c r="F100" s="26" t="s">
        <v>117</v>
      </c>
      <c r="G100" s="26" t="s">
        <v>117</v>
      </c>
      <c r="H100" s="29">
        <v>0</v>
      </c>
      <c r="I100" s="29">
        <v>0</v>
      </c>
      <c r="J100" s="26" t="s">
        <v>117</v>
      </c>
      <c r="K100" s="26" t="s">
        <v>117</v>
      </c>
      <c r="L100" s="26" t="s">
        <v>117</v>
      </c>
      <c r="M100" s="29" t="s">
        <v>117</v>
      </c>
      <c r="N100" s="29" t="s">
        <v>117</v>
      </c>
      <c r="O100" s="29">
        <v>0</v>
      </c>
      <c r="P100" s="29" t="s">
        <v>117</v>
      </c>
      <c r="Q100" s="29" t="s">
        <v>117</v>
      </c>
      <c r="R100" s="29" t="s">
        <v>117</v>
      </c>
      <c r="S100" s="29" t="s">
        <v>117</v>
      </c>
      <c r="T100" s="29" t="s">
        <v>117</v>
      </c>
      <c r="U100" s="26" t="s">
        <v>117</v>
      </c>
      <c r="V100" s="29" t="s">
        <v>117</v>
      </c>
      <c r="W100" s="29" t="s">
        <v>117</v>
      </c>
      <c r="X100" s="29" t="s">
        <v>117</v>
      </c>
      <c r="Y100" s="29" t="s">
        <v>117</v>
      </c>
      <c r="Z100" s="29" t="s">
        <v>117</v>
      </c>
      <c r="AA100" s="29" t="s">
        <v>117</v>
      </c>
      <c r="AB100" s="29" t="s">
        <v>117</v>
      </c>
      <c r="AC100" s="29" t="s">
        <v>117</v>
      </c>
      <c r="AD100" s="29" t="s">
        <v>117</v>
      </c>
      <c r="AE100" s="29" t="s">
        <v>117</v>
      </c>
      <c r="AF100" s="29" t="s">
        <v>117</v>
      </c>
      <c r="AG100" s="29" t="s">
        <v>117</v>
      </c>
      <c r="AH100" s="29" t="s">
        <v>117</v>
      </c>
      <c r="AI100" s="29" t="s">
        <v>117</v>
      </c>
      <c r="AJ100" s="29" t="s">
        <v>117</v>
      </c>
      <c r="AK100" s="31">
        <v>0</v>
      </c>
      <c r="AL100" s="31">
        <v>0</v>
      </c>
      <c r="AM100" s="31">
        <v>0</v>
      </c>
      <c r="AN100" s="31">
        <v>0</v>
      </c>
      <c r="AO100" s="31">
        <v>0</v>
      </c>
      <c r="AP100" s="31">
        <v>0</v>
      </c>
      <c r="AQ100" s="33" t="s">
        <v>117</v>
      </c>
      <c r="AR100" s="33" t="s">
        <v>117</v>
      </c>
      <c r="AS100" s="33" t="s">
        <v>117</v>
      </c>
      <c r="AT100" s="33" t="s">
        <v>117</v>
      </c>
      <c r="AU100" s="33" t="s">
        <v>117</v>
      </c>
      <c r="AV100" s="33" t="s">
        <v>117</v>
      </c>
      <c r="AW100" s="33" t="s">
        <v>117</v>
      </c>
      <c r="AX100" s="33" t="s">
        <v>117</v>
      </c>
      <c r="AY100" s="33" t="s">
        <v>117</v>
      </c>
      <c r="AZ100" s="33" t="s">
        <v>117</v>
      </c>
      <c r="BA100" s="33" t="s">
        <v>117</v>
      </c>
      <c r="BB100" s="33" t="s">
        <v>117</v>
      </c>
      <c r="BC100" s="33" t="s">
        <v>117</v>
      </c>
      <c r="BD100" s="33" t="s">
        <v>117</v>
      </c>
      <c r="BE100" s="33" t="s">
        <v>117</v>
      </c>
      <c r="BF100" s="33" t="s">
        <v>117</v>
      </c>
      <c r="BG100" s="33" t="s">
        <v>117</v>
      </c>
      <c r="BH100" s="33" t="s">
        <v>117</v>
      </c>
      <c r="BI100" s="33" t="s">
        <v>117</v>
      </c>
      <c r="BJ100" s="33" t="s">
        <v>117</v>
      </c>
      <c r="BK100" s="33" t="s">
        <v>117</v>
      </c>
      <c r="BL100" s="33" t="s">
        <v>117</v>
      </c>
      <c r="BM100" s="33" t="s">
        <v>117</v>
      </c>
      <c r="BN100" s="33" t="s">
        <v>117</v>
      </c>
      <c r="BO100" s="33" t="s">
        <v>117</v>
      </c>
      <c r="BP100" s="33" t="s">
        <v>117</v>
      </c>
      <c r="BQ100" s="33" t="s">
        <v>117</v>
      </c>
      <c r="BR100" s="33" t="s">
        <v>117</v>
      </c>
      <c r="BS100" s="33" t="s">
        <v>117</v>
      </c>
      <c r="BT100" s="33" t="s">
        <v>117</v>
      </c>
      <c r="BU100" s="31">
        <f t="shared" si="48"/>
        <v>0</v>
      </c>
      <c r="BV100" s="29">
        <v>0</v>
      </c>
      <c r="BW100" s="29">
        <v>0</v>
      </c>
      <c r="BX100" s="31">
        <f t="shared" si="66"/>
        <v>0</v>
      </c>
      <c r="BY100" s="33" t="s">
        <v>117</v>
      </c>
      <c r="BZ100" s="26" t="s">
        <v>117</v>
      </c>
    </row>
    <row r="101" spans="1:78" s="13" customFormat="1" ht="63" x14ac:dyDescent="0.25">
      <c r="A101" s="27" t="s">
        <v>99</v>
      </c>
      <c r="B101" s="28" t="s">
        <v>100</v>
      </c>
      <c r="C101" s="26" t="s">
        <v>117</v>
      </c>
      <c r="D101" s="26" t="s">
        <v>117</v>
      </c>
      <c r="E101" s="26" t="s">
        <v>117</v>
      </c>
      <c r="F101" s="26" t="s">
        <v>117</v>
      </c>
      <c r="G101" s="26" t="s">
        <v>117</v>
      </c>
      <c r="H101" s="29">
        <v>0</v>
      </c>
      <c r="I101" s="29">
        <v>0</v>
      </c>
      <c r="J101" s="26" t="s">
        <v>117</v>
      </c>
      <c r="K101" s="26" t="s">
        <v>117</v>
      </c>
      <c r="L101" s="26" t="s">
        <v>117</v>
      </c>
      <c r="M101" s="29" t="s">
        <v>117</v>
      </c>
      <c r="N101" s="29" t="s">
        <v>117</v>
      </c>
      <c r="O101" s="29">
        <v>0</v>
      </c>
      <c r="P101" s="29" t="s">
        <v>117</v>
      </c>
      <c r="Q101" s="29" t="s">
        <v>117</v>
      </c>
      <c r="R101" s="29" t="s">
        <v>117</v>
      </c>
      <c r="S101" s="29" t="s">
        <v>117</v>
      </c>
      <c r="T101" s="29" t="s">
        <v>117</v>
      </c>
      <c r="U101" s="26" t="s">
        <v>117</v>
      </c>
      <c r="V101" s="29" t="s">
        <v>117</v>
      </c>
      <c r="W101" s="29" t="s">
        <v>117</v>
      </c>
      <c r="X101" s="29" t="s">
        <v>117</v>
      </c>
      <c r="Y101" s="29" t="s">
        <v>117</v>
      </c>
      <c r="Z101" s="29" t="s">
        <v>117</v>
      </c>
      <c r="AA101" s="29" t="s">
        <v>117</v>
      </c>
      <c r="AB101" s="29" t="s">
        <v>117</v>
      </c>
      <c r="AC101" s="29" t="s">
        <v>117</v>
      </c>
      <c r="AD101" s="29" t="s">
        <v>117</v>
      </c>
      <c r="AE101" s="29" t="s">
        <v>117</v>
      </c>
      <c r="AF101" s="29" t="s">
        <v>117</v>
      </c>
      <c r="AG101" s="29" t="s">
        <v>117</v>
      </c>
      <c r="AH101" s="29" t="s">
        <v>117</v>
      </c>
      <c r="AI101" s="29" t="s">
        <v>117</v>
      </c>
      <c r="AJ101" s="29" t="s">
        <v>117</v>
      </c>
      <c r="AK101" s="31">
        <v>0</v>
      </c>
      <c r="AL101" s="31">
        <v>0</v>
      </c>
      <c r="AM101" s="31">
        <v>0</v>
      </c>
      <c r="AN101" s="31">
        <v>0</v>
      </c>
      <c r="AO101" s="31">
        <v>0</v>
      </c>
      <c r="AP101" s="31">
        <v>0</v>
      </c>
      <c r="AQ101" s="33" t="s">
        <v>117</v>
      </c>
      <c r="AR101" s="33" t="s">
        <v>117</v>
      </c>
      <c r="AS101" s="33" t="s">
        <v>117</v>
      </c>
      <c r="AT101" s="33" t="s">
        <v>117</v>
      </c>
      <c r="AU101" s="33" t="s">
        <v>117</v>
      </c>
      <c r="AV101" s="33" t="s">
        <v>117</v>
      </c>
      <c r="AW101" s="33" t="s">
        <v>117</v>
      </c>
      <c r="AX101" s="33" t="s">
        <v>117</v>
      </c>
      <c r="AY101" s="33" t="s">
        <v>117</v>
      </c>
      <c r="AZ101" s="33" t="s">
        <v>117</v>
      </c>
      <c r="BA101" s="33" t="s">
        <v>117</v>
      </c>
      <c r="BB101" s="33" t="s">
        <v>117</v>
      </c>
      <c r="BC101" s="33" t="s">
        <v>117</v>
      </c>
      <c r="BD101" s="33" t="s">
        <v>117</v>
      </c>
      <c r="BE101" s="33" t="s">
        <v>117</v>
      </c>
      <c r="BF101" s="33" t="s">
        <v>117</v>
      </c>
      <c r="BG101" s="33" t="s">
        <v>117</v>
      </c>
      <c r="BH101" s="33" t="s">
        <v>117</v>
      </c>
      <c r="BI101" s="33" t="s">
        <v>117</v>
      </c>
      <c r="BJ101" s="33" t="s">
        <v>117</v>
      </c>
      <c r="BK101" s="33" t="s">
        <v>117</v>
      </c>
      <c r="BL101" s="33" t="s">
        <v>117</v>
      </c>
      <c r="BM101" s="33" t="s">
        <v>117</v>
      </c>
      <c r="BN101" s="33" t="s">
        <v>117</v>
      </c>
      <c r="BO101" s="33" t="s">
        <v>117</v>
      </c>
      <c r="BP101" s="33" t="s">
        <v>117</v>
      </c>
      <c r="BQ101" s="33" t="s">
        <v>117</v>
      </c>
      <c r="BR101" s="33" t="s">
        <v>117</v>
      </c>
      <c r="BS101" s="33" t="s">
        <v>117</v>
      </c>
      <c r="BT101" s="33" t="s">
        <v>117</v>
      </c>
      <c r="BU101" s="31">
        <f t="shared" si="48"/>
        <v>0</v>
      </c>
      <c r="BV101" s="29">
        <v>0</v>
      </c>
      <c r="BW101" s="29">
        <v>0</v>
      </c>
      <c r="BX101" s="31">
        <f t="shared" si="66"/>
        <v>0</v>
      </c>
      <c r="BY101" s="33" t="s">
        <v>117</v>
      </c>
      <c r="BZ101" s="26" t="s">
        <v>117</v>
      </c>
    </row>
    <row r="102" spans="1:78" s="13" customFormat="1" ht="31.5" x14ac:dyDescent="0.25">
      <c r="A102" s="27" t="s">
        <v>101</v>
      </c>
      <c r="B102" s="28" t="s">
        <v>102</v>
      </c>
      <c r="C102" s="26" t="s">
        <v>117</v>
      </c>
      <c r="D102" s="26" t="s">
        <v>117</v>
      </c>
      <c r="E102" s="26" t="s">
        <v>117</v>
      </c>
      <c r="F102" s="26" t="s">
        <v>117</v>
      </c>
      <c r="G102" s="26" t="s">
        <v>117</v>
      </c>
      <c r="H102" s="29">
        <v>0</v>
      </c>
      <c r="I102" s="29">
        <v>0</v>
      </c>
      <c r="J102" s="26" t="s">
        <v>117</v>
      </c>
      <c r="K102" s="26" t="s">
        <v>117</v>
      </c>
      <c r="L102" s="26" t="s">
        <v>117</v>
      </c>
      <c r="M102" s="29" t="s">
        <v>117</v>
      </c>
      <c r="N102" s="29" t="s">
        <v>117</v>
      </c>
      <c r="O102" s="29">
        <v>0</v>
      </c>
      <c r="P102" s="29" t="s">
        <v>117</v>
      </c>
      <c r="Q102" s="29" t="s">
        <v>117</v>
      </c>
      <c r="R102" s="29" t="s">
        <v>117</v>
      </c>
      <c r="S102" s="29" t="s">
        <v>117</v>
      </c>
      <c r="T102" s="29" t="s">
        <v>117</v>
      </c>
      <c r="U102" s="26" t="s">
        <v>117</v>
      </c>
      <c r="V102" s="29" t="s">
        <v>117</v>
      </c>
      <c r="W102" s="29" t="s">
        <v>117</v>
      </c>
      <c r="X102" s="29" t="s">
        <v>117</v>
      </c>
      <c r="Y102" s="29" t="s">
        <v>117</v>
      </c>
      <c r="Z102" s="29" t="s">
        <v>117</v>
      </c>
      <c r="AA102" s="29" t="s">
        <v>117</v>
      </c>
      <c r="AB102" s="29" t="s">
        <v>117</v>
      </c>
      <c r="AC102" s="29" t="s">
        <v>117</v>
      </c>
      <c r="AD102" s="29" t="s">
        <v>117</v>
      </c>
      <c r="AE102" s="29" t="s">
        <v>117</v>
      </c>
      <c r="AF102" s="29" t="s">
        <v>117</v>
      </c>
      <c r="AG102" s="29" t="s">
        <v>117</v>
      </c>
      <c r="AH102" s="29" t="s">
        <v>117</v>
      </c>
      <c r="AI102" s="29" t="s">
        <v>117</v>
      </c>
      <c r="AJ102" s="29" t="s">
        <v>117</v>
      </c>
      <c r="AK102" s="31">
        <v>0</v>
      </c>
      <c r="AL102" s="31">
        <v>0</v>
      </c>
      <c r="AM102" s="31">
        <v>0</v>
      </c>
      <c r="AN102" s="31">
        <v>0</v>
      </c>
      <c r="AO102" s="31">
        <v>0</v>
      </c>
      <c r="AP102" s="31">
        <v>0</v>
      </c>
      <c r="AQ102" s="33" t="s">
        <v>117</v>
      </c>
      <c r="AR102" s="33" t="s">
        <v>117</v>
      </c>
      <c r="AS102" s="33" t="s">
        <v>117</v>
      </c>
      <c r="AT102" s="33" t="s">
        <v>117</v>
      </c>
      <c r="AU102" s="33" t="s">
        <v>117</v>
      </c>
      <c r="AV102" s="33" t="s">
        <v>117</v>
      </c>
      <c r="AW102" s="33" t="s">
        <v>117</v>
      </c>
      <c r="AX102" s="33" t="s">
        <v>117</v>
      </c>
      <c r="AY102" s="33" t="s">
        <v>117</v>
      </c>
      <c r="AZ102" s="33" t="s">
        <v>117</v>
      </c>
      <c r="BA102" s="33" t="s">
        <v>117</v>
      </c>
      <c r="BB102" s="33" t="s">
        <v>117</v>
      </c>
      <c r="BC102" s="33" t="s">
        <v>117</v>
      </c>
      <c r="BD102" s="33" t="s">
        <v>117</v>
      </c>
      <c r="BE102" s="33" t="s">
        <v>117</v>
      </c>
      <c r="BF102" s="33" t="s">
        <v>117</v>
      </c>
      <c r="BG102" s="33" t="s">
        <v>117</v>
      </c>
      <c r="BH102" s="33" t="s">
        <v>117</v>
      </c>
      <c r="BI102" s="33" t="s">
        <v>117</v>
      </c>
      <c r="BJ102" s="33" t="s">
        <v>117</v>
      </c>
      <c r="BK102" s="33" t="s">
        <v>117</v>
      </c>
      <c r="BL102" s="33" t="s">
        <v>117</v>
      </c>
      <c r="BM102" s="33" t="s">
        <v>117</v>
      </c>
      <c r="BN102" s="33" t="s">
        <v>117</v>
      </c>
      <c r="BO102" s="33" t="s">
        <v>117</v>
      </c>
      <c r="BP102" s="33" t="s">
        <v>117</v>
      </c>
      <c r="BQ102" s="33" t="s">
        <v>117</v>
      </c>
      <c r="BR102" s="33" t="s">
        <v>117</v>
      </c>
      <c r="BS102" s="33" t="s">
        <v>117</v>
      </c>
      <c r="BT102" s="33" t="s">
        <v>117</v>
      </c>
      <c r="BU102" s="31">
        <f t="shared" si="48"/>
        <v>0</v>
      </c>
      <c r="BV102" s="29">
        <v>0</v>
      </c>
      <c r="BW102" s="29">
        <v>0</v>
      </c>
      <c r="BX102" s="31">
        <f t="shared" si="66"/>
        <v>0</v>
      </c>
      <c r="BY102" s="33" t="s">
        <v>117</v>
      </c>
      <c r="BZ102" s="26" t="s">
        <v>117</v>
      </c>
    </row>
    <row r="103" spans="1:78" s="13" customFormat="1" ht="47.25" x14ac:dyDescent="0.25">
      <c r="A103" s="27" t="s">
        <v>103</v>
      </c>
      <c r="B103" s="28" t="s">
        <v>104</v>
      </c>
      <c r="C103" s="26" t="s">
        <v>117</v>
      </c>
      <c r="D103" s="26" t="s">
        <v>117</v>
      </c>
      <c r="E103" s="26" t="s">
        <v>117</v>
      </c>
      <c r="F103" s="26" t="s">
        <v>117</v>
      </c>
      <c r="G103" s="26" t="s">
        <v>117</v>
      </c>
      <c r="H103" s="29">
        <v>0</v>
      </c>
      <c r="I103" s="29">
        <v>0</v>
      </c>
      <c r="J103" s="26" t="s">
        <v>117</v>
      </c>
      <c r="K103" s="26" t="s">
        <v>117</v>
      </c>
      <c r="L103" s="26" t="s">
        <v>117</v>
      </c>
      <c r="M103" s="29" t="s">
        <v>117</v>
      </c>
      <c r="N103" s="29" t="s">
        <v>117</v>
      </c>
      <c r="O103" s="29">
        <v>0</v>
      </c>
      <c r="P103" s="29" t="s">
        <v>117</v>
      </c>
      <c r="Q103" s="29" t="s">
        <v>117</v>
      </c>
      <c r="R103" s="29" t="s">
        <v>117</v>
      </c>
      <c r="S103" s="29" t="s">
        <v>117</v>
      </c>
      <c r="T103" s="29" t="s">
        <v>117</v>
      </c>
      <c r="U103" s="26" t="s">
        <v>117</v>
      </c>
      <c r="V103" s="29" t="s">
        <v>117</v>
      </c>
      <c r="W103" s="29" t="s">
        <v>117</v>
      </c>
      <c r="X103" s="29" t="s">
        <v>117</v>
      </c>
      <c r="Y103" s="29" t="s">
        <v>117</v>
      </c>
      <c r="Z103" s="29" t="s">
        <v>117</v>
      </c>
      <c r="AA103" s="29" t="s">
        <v>117</v>
      </c>
      <c r="AB103" s="29" t="s">
        <v>117</v>
      </c>
      <c r="AC103" s="29" t="s">
        <v>117</v>
      </c>
      <c r="AD103" s="29" t="s">
        <v>117</v>
      </c>
      <c r="AE103" s="29" t="s">
        <v>117</v>
      </c>
      <c r="AF103" s="29" t="s">
        <v>117</v>
      </c>
      <c r="AG103" s="29" t="s">
        <v>117</v>
      </c>
      <c r="AH103" s="29" t="s">
        <v>117</v>
      </c>
      <c r="AI103" s="29" t="s">
        <v>117</v>
      </c>
      <c r="AJ103" s="29" t="s">
        <v>117</v>
      </c>
      <c r="AK103" s="31">
        <v>0</v>
      </c>
      <c r="AL103" s="31">
        <v>0</v>
      </c>
      <c r="AM103" s="31">
        <v>0</v>
      </c>
      <c r="AN103" s="31">
        <v>0</v>
      </c>
      <c r="AO103" s="31">
        <v>0</v>
      </c>
      <c r="AP103" s="31">
        <v>0</v>
      </c>
      <c r="AQ103" s="33" t="s">
        <v>117</v>
      </c>
      <c r="AR103" s="33" t="s">
        <v>117</v>
      </c>
      <c r="AS103" s="33" t="s">
        <v>117</v>
      </c>
      <c r="AT103" s="33" t="s">
        <v>117</v>
      </c>
      <c r="AU103" s="33" t="s">
        <v>117</v>
      </c>
      <c r="AV103" s="33" t="s">
        <v>117</v>
      </c>
      <c r="AW103" s="33" t="s">
        <v>117</v>
      </c>
      <c r="AX103" s="33" t="s">
        <v>117</v>
      </c>
      <c r="AY103" s="33" t="s">
        <v>117</v>
      </c>
      <c r="AZ103" s="33" t="s">
        <v>117</v>
      </c>
      <c r="BA103" s="33" t="s">
        <v>117</v>
      </c>
      <c r="BB103" s="33" t="s">
        <v>117</v>
      </c>
      <c r="BC103" s="33" t="s">
        <v>117</v>
      </c>
      <c r="BD103" s="33" t="s">
        <v>117</v>
      </c>
      <c r="BE103" s="33" t="s">
        <v>117</v>
      </c>
      <c r="BF103" s="33" t="s">
        <v>117</v>
      </c>
      <c r="BG103" s="33" t="s">
        <v>117</v>
      </c>
      <c r="BH103" s="33" t="s">
        <v>117</v>
      </c>
      <c r="BI103" s="33" t="s">
        <v>117</v>
      </c>
      <c r="BJ103" s="33" t="s">
        <v>117</v>
      </c>
      <c r="BK103" s="33" t="s">
        <v>117</v>
      </c>
      <c r="BL103" s="33" t="s">
        <v>117</v>
      </c>
      <c r="BM103" s="33" t="s">
        <v>117</v>
      </c>
      <c r="BN103" s="33" t="s">
        <v>117</v>
      </c>
      <c r="BO103" s="33" t="s">
        <v>117</v>
      </c>
      <c r="BP103" s="33" t="s">
        <v>117</v>
      </c>
      <c r="BQ103" s="33" t="s">
        <v>117</v>
      </c>
      <c r="BR103" s="33" t="s">
        <v>117</v>
      </c>
      <c r="BS103" s="33" t="s">
        <v>117</v>
      </c>
      <c r="BT103" s="33" t="s">
        <v>117</v>
      </c>
      <c r="BU103" s="31">
        <f t="shared" si="48"/>
        <v>0</v>
      </c>
      <c r="BV103" s="29">
        <v>0</v>
      </c>
      <c r="BW103" s="29">
        <v>0</v>
      </c>
      <c r="BX103" s="31">
        <f t="shared" si="66"/>
        <v>0</v>
      </c>
      <c r="BY103" s="33" t="s">
        <v>117</v>
      </c>
      <c r="BZ103" s="26" t="s">
        <v>117</v>
      </c>
    </row>
    <row r="104" spans="1:78" s="13" customFormat="1" ht="63" x14ac:dyDescent="0.25">
      <c r="A104" s="27" t="s">
        <v>105</v>
      </c>
      <c r="B104" s="28" t="s">
        <v>106</v>
      </c>
      <c r="C104" s="26" t="s">
        <v>117</v>
      </c>
      <c r="D104" s="26" t="s">
        <v>117</v>
      </c>
      <c r="E104" s="26" t="s">
        <v>117</v>
      </c>
      <c r="F104" s="26" t="s">
        <v>117</v>
      </c>
      <c r="G104" s="26" t="s">
        <v>117</v>
      </c>
      <c r="H104" s="29">
        <v>0</v>
      </c>
      <c r="I104" s="29">
        <v>0</v>
      </c>
      <c r="J104" s="26" t="s">
        <v>117</v>
      </c>
      <c r="K104" s="26" t="s">
        <v>117</v>
      </c>
      <c r="L104" s="26" t="s">
        <v>117</v>
      </c>
      <c r="M104" s="29" t="s">
        <v>117</v>
      </c>
      <c r="N104" s="29" t="s">
        <v>117</v>
      </c>
      <c r="O104" s="29">
        <v>0</v>
      </c>
      <c r="P104" s="29" t="s">
        <v>117</v>
      </c>
      <c r="Q104" s="29" t="s">
        <v>117</v>
      </c>
      <c r="R104" s="29" t="s">
        <v>117</v>
      </c>
      <c r="S104" s="29" t="s">
        <v>117</v>
      </c>
      <c r="T104" s="29" t="s">
        <v>117</v>
      </c>
      <c r="U104" s="26" t="s">
        <v>117</v>
      </c>
      <c r="V104" s="29" t="s">
        <v>117</v>
      </c>
      <c r="W104" s="29" t="s">
        <v>117</v>
      </c>
      <c r="X104" s="29" t="s">
        <v>117</v>
      </c>
      <c r="Y104" s="29" t="s">
        <v>117</v>
      </c>
      <c r="Z104" s="29" t="s">
        <v>117</v>
      </c>
      <c r="AA104" s="29" t="s">
        <v>117</v>
      </c>
      <c r="AB104" s="29" t="s">
        <v>117</v>
      </c>
      <c r="AC104" s="29" t="s">
        <v>117</v>
      </c>
      <c r="AD104" s="29" t="s">
        <v>117</v>
      </c>
      <c r="AE104" s="29" t="s">
        <v>117</v>
      </c>
      <c r="AF104" s="29" t="s">
        <v>117</v>
      </c>
      <c r="AG104" s="29" t="s">
        <v>117</v>
      </c>
      <c r="AH104" s="29" t="s">
        <v>117</v>
      </c>
      <c r="AI104" s="29" t="s">
        <v>117</v>
      </c>
      <c r="AJ104" s="29" t="s">
        <v>117</v>
      </c>
      <c r="AK104" s="31">
        <v>0</v>
      </c>
      <c r="AL104" s="31">
        <v>0</v>
      </c>
      <c r="AM104" s="31">
        <v>0</v>
      </c>
      <c r="AN104" s="31">
        <v>0</v>
      </c>
      <c r="AO104" s="31">
        <v>0</v>
      </c>
      <c r="AP104" s="31">
        <v>0</v>
      </c>
      <c r="AQ104" s="33" t="s">
        <v>117</v>
      </c>
      <c r="AR104" s="33" t="s">
        <v>117</v>
      </c>
      <c r="AS104" s="33" t="s">
        <v>117</v>
      </c>
      <c r="AT104" s="33" t="s">
        <v>117</v>
      </c>
      <c r="AU104" s="33" t="s">
        <v>117</v>
      </c>
      <c r="AV104" s="33" t="s">
        <v>117</v>
      </c>
      <c r="AW104" s="33" t="s">
        <v>117</v>
      </c>
      <c r="AX104" s="33" t="s">
        <v>117</v>
      </c>
      <c r="AY104" s="33" t="s">
        <v>117</v>
      </c>
      <c r="AZ104" s="33" t="s">
        <v>117</v>
      </c>
      <c r="BA104" s="33" t="s">
        <v>117</v>
      </c>
      <c r="BB104" s="33" t="s">
        <v>117</v>
      </c>
      <c r="BC104" s="33" t="s">
        <v>117</v>
      </c>
      <c r="BD104" s="33" t="s">
        <v>117</v>
      </c>
      <c r="BE104" s="33" t="s">
        <v>117</v>
      </c>
      <c r="BF104" s="33" t="s">
        <v>117</v>
      </c>
      <c r="BG104" s="33" t="s">
        <v>117</v>
      </c>
      <c r="BH104" s="33" t="s">
        <v>117</v>
      </c>
      <c r="BI104" s="33" t="s">
        <v>117</v>
      </c>
      <c r="BJ104" s="33" t="s">
        <v>117</v>
      </c>
      <c r="BK104" s="33" t="s">
        <v>117</v>
      </c>
      <c r="BL104" s="33" t="s">
        <v>117</v>
      </c>
      <c r="BM104" s="33" t="s">
        <v>117</v>
      </c>
      <c r="BN104" s="33" t="s">
        <v>117</v>
      </c>
      <c r="BO104" s="33" t="s">
        <v>117</v>
      </c>
      <c r="BP104" s="33" t="s">
        <v>117</v>
      </c>
      <c r="BQ104" s="33" t="s">
        <v>117</v>
      </c>
      <c r="BR104" s="33" t="s">
        <v>117</v>
      </c>
      <c r="BS104" s="33" t="s">
        <v>117</v>
      </c>
      <c r="BT104" s="33" t="s">
        <v>117</v>
      </c>
      <c r="BU104" s="31">
        <f t="shared" si="48"/>
        <v>0</v>
      </c>
      <c r="BV104" s="29">
        <v>0</v>
      </c>
      <c r="BW104" s="29">
        <v>0</v>
      </c>
      <c r="BX104" s="31">
        <f t="shared" si="66"/>
        <v>0</v>
      </c>
      <c r="BY104" s="33" t="s">
        <v>117</v>
      </c>
      <c r="BZ104" s="26" t="s">
        <v>117</v>
      </c>
    </row>
    <row r="105" spans="1:78" s="13" customFormat="1" ht="63" x14ac:dyDescent="0.25">
      <c r="A105" s="27" t="s">
        <v>107</v>
      </c>
      <c r="B105" s="28" t="s">
        <v>108</v>
      </c>
      <c r="C105" s="26" t="s">
        <v>117</v>
      </c>
      <c r="D105" s="26" t="s">
        <v>117</v>
      </c>
      <c r="E105" s="26" t="s">
        <v>117</v>
      </c>
      <c r="F105" s="26" t="s">
        <v>117</v>
      </c>
      <c r="G105" s="26" t="s">
        <v>117</v>
      </c>
      <c r="H105" s="29">
        <v>0</v>
      </c>
      <c r="I105" s="29">
        <v>0</v>
      </c>
      <c r="J105" s="26" t="s">
        <v>117</v>
      </c>
      <c r="K105" s="26" t="s">
        <v>117</v>
      </c>
      <c r="L105" s="26" t="s">
        <v>117</v>
      </c>
      <c r="M105" s="29" t="s">
        <v>117</v>
      </c>
      <c r="N105" s="29" t="s">
        <v>117</v>
      </c>
      <c r="O105" s="29">
        <v>0</v>
      </c>
      <c r="P105" s="29" t="s">
        <v>117</v>
      </c>
      <c r="Q105" s="29" t="s">
        <v>117</v>
      </c>
      <c r="R105" s="29" t="s">
        <v>117</v>
      </c>
      <c r="S105" s="29" t="s">
        <v>117</v>
      </c>
      <c r="T105" s="29" t="s">
        <v>117</v>
      </c>
      <c r="U105" s="26" t="s">
        <v>117</v>
      </c>
      <c r="V105" s="29" t="s">
        <v>117</v>
      </c>
      <c r="W105" s="29" t="s">
        <v>117</v>
      </c>
      <c r="X105" s="29" t="s">
        <v>117</v>
      </c>
      <c r="Y105" s="29" t="s">
        <v>117</v>
      </c>
      <c r="Z105" s="29" t="s">
        <v>117</v>
      </c>
      <c r="AA105" s="29" t="s">
        <v>117</v>
      </c>
      <c r="AB105" s="29" t="s">
        <v>117</v>
      </c>
      <c r="AC105" s="29" t="s">
        <v>117</v>
      </c>
      <c r="AD105" s="29" t="s">
        <v>117</v>
      </c>
      <c r="AE105" s="29" t="s">
        <v>117</v>
      </c>
      <c r="AF105" s="29" t="s">
        <v>117</v>
      </c>
      <c r="AG105" s="29" t="s">
        <v>117</v>
      </c>
      <c r="AH105" s="29" t="s">
        <v>117</v>
      </c>
      <c r="AI105" s="29" t="s">
        <v>117</v>
      </c>
      <c r="AJ105" s="29" t="s">
        <v>117</v>
      </c>
      <c r="AK105" s="31">
        <v>0</v>
      </c>
      <c r="AL105" s="31">
        <v>0</v>
      </c>
      <c r="AM105" s="31">
        <v>0</v>
      </c>
      <c r="AN105" s="31">
        <v>0</v>
      </c>
      <c r="AO105" s="31">
        <v>0</v>
      </c>
      <c r="AP105" s="31">
        <v>0</v>
      </c>
      <c r="AQ105" s="33" t="s">
        <v>117</v>
      </c>
      <c r="AR105" s="33" t="s">
        <v>117</v>
      </c>
      <c r="AS105" s="33" t="s">
        <v>117</v>
      </c>
      <c r="AT105" s="33" t="s">
        <v>117</v>
      </c>
      <c r="AU105" s="33" t="s">
        <v>117</v>
      </c>
      <c r="AV105" s="33" t="s">
        <v>117</v>
      </c>
      <c r="AW105" s="33" t="s">
        <v>117</v>
      </c>
      <c r="AX105" s="33" t="s">
        <v>117</v>
      </c>
      <c r="AY105" s="33" t="s">
        <v>117</v>
      </c>
      <c r="AZ105" s="33" t="s">
        <v>117</v>
      </c>
      <c r="BA105" s="33" t="s">
        <v>117</v>
      </c>
      <c r="BB105" s="33" t="s">
        <v>117</v>
      </c>
      <c r="BC105" s="33" t="s">
        <v>117</v>
      </c>
      <c r="BD105" s="33" t="s">
        <v>117</v>
      </c>
      <c r="BE105" s="33" t="s">
        <v>117</v>
      </c>
      <c r="BF105" s="33" t="s">
        <v>117</v>
      </c>
      <c r="BG105" s="33" t="s">
        <v>117</v>
      </c>
      <c r="BH105" s="33" t="s">
        <v>117</v>
      </c>
      <c r="BI105" s="33" t="s">
        <v>117</v>
      </c>
      <c r="BJ105" s="33" t="s">
        <v>117</v>
      </c>
      <c r="BK105" s="33" t="s">
        <v>117</v>
      </c>
      <c r="BL105" s="33" t="s">
        <v>117</v>
      </c>
      <c r="BM105" s="33" t="s">
        <v>117</v>
      </c>
      <c r="BN105" s="33" t="s">
        <v>117</v>
      </c>
      <c r="BO105" s="33" t="s">
        <v>117</v>
      </c>
      <c r="BP105" s="33" t="s">
        <v>117</v>
      </c>
      <c r="BQ105" s="33" t="s">
        <v>117</v>
      </c>
      <c r="BR105" s="33" t="s">
        <v>117</v>
      </c>
      <c r="BS105" s="33" t="s">
        <v>117</v>
      </c>
      <c r="BT105" s="33" t="s">
        <v>117</v>
      </c>
      <c r="BU105" s="31">
        <f t="shared" si="48"/>
        <v>0</v>
      </c>
      <c r="BV105" s="29">
        <v>0</v>
      </c>
      <c r="BW105" s="29">
        <v>0</v>
      </c>
      <c r="BX105" s="31">
        <f t="shared" si="66"/>
        <v>0</v>
      </c>
      <c r="BY105" s="33" t="s">
        <v>117</v>
      </c>
      <c r="BZ105" s="26" t="s">
        <v>117</v>
      </c>
    </row>
    <row r="106" spans="1:78" s="13" customFormat="1" ht="63" x14ac:dyDescent="0.25">
      <c r="A106" s="27" t="s">
        <v>109</v>
      </c>
      <c r="B106" s="28" t="s">
        <v>110</v>
      </c>
      <c r="C106" s="26" t="s">
        <v>117</v>
      </c>
      <c r="D106" s="26" t="s">
        <v>117</v>
      </c>
      <c r="E106" s="26" t="s">
        <v>117</v>
      </c>
      <c r="F106" s="26" t="s">
        <v>117</v>
      </c>
      <c r="G106" s="26" t="s">
        <v>117</v>
      </c>
      <c r="H106" s="29">
        <v>0</v>
      </c>
      <c r="I106" s="29">
        <v>0</v>
      </c>
      <c r="J106" s="26" t="s">
        <v>117</v>
      </c>
      <c r="K106" s="26" t="s">
        <v>117</v>
      </c>
      <c r="L106" s="26" t="s">
        <v>117</v>
      </c>
      <c r="M106" s="29" t="s">
        <v>117</v>
      </c>
      <c r="N106" s="29" t="s">
        <v>117</v>
      </c>
      <c r="O106" s="29">
        <v>0</v>
      </c>
      <c r="P106" s="29" t="s">
        <v>117</v>
      </c>
      <c r="Q106" s="29" t="s">
        <v>117</v>
      </c>
      <c r="R106" s="29" t="s">
        <v>117</v>
      </c>
      <c r="S106" s="29" t="s">
        <v>117</v>
      </c>
      <c r="T106" s="29" t="s">
        <v>117</v>
      </c>
      <c r="U106" s="26" t="s">
        <v>117</v>
      </c>
      <c r="V106" s="29" t="s">
        <v>117</v>
      </c>
      <c r="W106" s="29" t="s">
        <v>117</v>
      </c>
      <c r="X106" s="29" t="s">
        <v>117</v>
      </c>
      <c r="Y106" s="29" t="s">
        <v>117</v>
      </c>
      <c r="Z106" s="29" t="s">
        <v>117</v>
      </c>
      <c r="AA106" s="29" t="s">
        <v>117</v>
      </c>
      <c r="AB106" s="29" t="s">
        <v>117</v>
      </c>
      <c r="AC106" s="29" t="s">
        <v>117</v>
      </c>
      <c r="AD106" s="29" t="s">
        <v>117</v>
      </c>
      <c r="AE106" s="29" t="s">
        <v>117</v>
      </c>
      <c r="AF106" s="29" t="s">
        <v>117</v>
      </c>
      <c r="AG106" s="29" t="s">
        <v>117</v>
      </c>
      <c r="AH106" s="29" t="s">
        <v>117</v>
      </c>
      <c r="AI106" s="29" t="s">
        <v>117</v>
      </c>
      <c r="AJ106" s="29" t="s">
        <v>117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31">
        <v>0</v>
      </c>
      <c r="AQ106" s="33" t="s">
        <v>117</v>
      </c>
      <c r="AR106" s="33" t="s">
        <v>117</v>
      </c>
      <c r="AS106" s="33" t="s">
        <v>117</v>
      </c>
      <c r="AT106" s="33" t="s">
        <v>117</v>
      </c>
      <c r="AU106" s="33" t="s">
        <v>117</v>
      </c>
      <c r="AV106" s="33" t="s">
        <v>117</v>
      </c>
      <c r="AW106" s="33" t="s">
        <v>117</v>
      </c>
      <c r="AX106" s="33" t="s">
        <v>117</v>
      </c>
      <c r="AY106" s="33" t="s">
        <v>117</v>
      </c>
      <c r="AZ106" s="33" t="s">
        <v>117</v>
      </c>
      <c r="BA106" s="33" t="s">
        <v>117</v>
      </c>
      <c r="BB106" s="33" t="s">
        <v>117</v>
      </c>
      <c r="BC106" s="33" t="s">
        <v>117</v>
      </c>
      <c r="BD106" s="33" t="s">
        <v>117</v>
      </c>
      <c r="BE106" s="33" t="s">
        <v>117</v>
      </c>
      <c r="BF106" s="33" t="s">
        <v>117</v>
      </c>
      <c r="BG106" s="33" t="s">
        <v>117</v>
      </c>
      <c r="BH106" s="33" t="s">
        <v>117</v>
      </c>
      <c r="BI106" s="33" t="s">
        <v>117</v>
      </c>
      <c r="BJ106" s="33" t="s">
        <v>117</v>
      </c>
      <c r="BK106" s="33" t="s">
        <v>117</v>
      </c>
      <c r="BL106" s="33" t="s">
        <v>117</v>
      </c>
      <c r="BM106" s="33" t="s">
        <v>117</v>
      </c>
      <c r="BN106" s="33" t="s">
        <v>117</v>
      </c>
      <c r="BO106" s="33" t="s">
        <v>117</v>
      </c>
      <c r="BP106" s="33" t="s">
        <v>117</v>
      </c>
      <c r="BQ106" s="33" t="s">
        <v>117</v>
      </c>
      <c r="BR106" s="33" t="s">
        <v>117</v>
      </c>
      <c r="BS106" s="33" t="s">
        <v>117</v>
      </c>
      <c r="BT106" s="33" t="s">
        <v>117</v>
      </c>
      <c r="BU106" s="31">
        <f t="shared" si="48"/>
        <v>0</v>
      </c>
      <c r="BV106" s="29">
        <v>0</v>
      </c>
      <c r="BW106" s="29">
        <v>0</v>
      </c>
      <c r="BX106" s="31">
        <f t="shared" si="66"/>
        <v>0</v>
      </c>
      <c r="BY106" s="33" t="s">
        <v>117</v>
      </c>
      <c r="BZ106" s="26" t="s">
        <v>117</v>
      </c>
    </row>
    <row r="107" spans="1:78" s="13" customFormat="1" ht="47.25" x14ac:dyDescent="0.25">
      <c r="A107" s="27" t="s">
        <v>111</v>
      </c>
      <c r="B107" s="28" t="s">
        <v>112</v>
      </c>
      <c r="C107" s="26" t="s">
        <v>117</v>
      </c>
      <c r="D107" s="26" t="s">
        <v>117</v>
      </c>
      <c r="E107" s="26" t="s">
        <v>117</v>
      </c>
      <c r="F107" s="26" t="s">
        <v>117</v>
      </c>
      <c r="G107" s="26" t="s">
        <v>117</v>
      </c>
      <c r="H107" s="29">
        <v>0</v>
      </c>
      <c r="I107" s="29">
        <v>0</v>
      </c>
      <c r="J107" s="26" t="s">
        <v>117</v>
      </c>
      <c r="K107" s="26" t="s">
        <v>117</v>
      </c>
      <c r="L107" s="26" t="s">
        <v>117</v>
      </c>
      <c r="M107" s="29" t="s">
        <v>117</v>
      </c>
      <c r="N107" s="29" t="s">
        <v>117</v>
      </c>
      <c r="O107" s="29">
        <v>0</v>
      </c>
      <c r="P107" s="29" t="s">
        <v>117</v>
      </c>
      <c r="Q107" s="29" t="s">
        <v>117</v>
      </c>
      <c r="R107" s="29" t="s">
        <v>117</v>
      </c>
      <c r="S107" s="29" t="s">
        <v>117</v>
      </c>
      <c r="T107" s="29" t="s">
        <v>117</v>
      </c>
      <c r="U107" s="26" t="s">
        <v>117</v>
      </c>
      <c r="V107" s="29" t="s">
        <v>117</v>
      </c>
      <c r="W107" s="29" t="s">
        <v>117</v>
      </c>
      <c r="X107" s="29" t="s">
        <v>117</v>
      </c>
      <c r="Y107" s="29" t="s">
        <v>117</v>
      </c>
      <c r="Z107" s="29" t="s">
        <v>117</v>
      </c>
      <c r="AA107" s="29" t="s">
        <v>117</v>
      </c>
      <c r="AB107" s="29" t="s">
        <v>117</v>
      </c>
      <c r="AC107" s="29" t="s">
        <v>117</v>
      </c>
      <c r="AD107" s="29" t="s">
        <v>117</v>
      </c>
      <c r="AE107" s="29" t="s">
        <v>117</v>
      </c>
      <c r="AF107" s="29" t="s">
        <v>117</v>
      </c>
      <c r="AG107" s="29" t="s">
        <v>117</v>
      </c>
      <c r="AH107" s="29" t="s">
        <v>117</v>
      </c>
      <c r="AI107" s="29" t="s">
        <v>117</v>
      </c>
      <c r="AJ107" s="29" t="s">
        <v>117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31">
        <v>0</v>
      </c>
      <c r="AQ107" s="33" t="s">
        <v>117</v>
      </c>
      <c r="AR107" s="33" t="s">
        <v>117</v>
      </c>
      <c r="AS107" s="33" t="s">
        <v>117</v>
      </c>
      <c r="AT107" s="33" t="s">
        <v>117</v>
      </c>
      <c r="AU107" s="33" t="s">
        <v>117</v>
      </c>
      <c r="AV107" s="33" t="s">
        <v>117</v>
      </c>
      <c r="AW107" s="33" t="s">
        <v>117</v>
      </c>
      <c r="AX107" s="33" t="s">
        <v>117</v>
      </c>
      <c r="AY107" s="33" t="s">
        <v>117</v>
      </c>
      <c r="AZ107" s="33" t="s">
        <v>117</v>
      </c>
      <c r="BA107" s="33" t="s">
        <v>117</v>
      </c>
      <c r="BB107" s="33" t="s">
        <v>117</v>
      </c>
      <c r="BC107" s="33" t="s">
        <v>117</v>
      </c>
      <c r="BD107" s="33" t="s">
        <v>117</v>
      </c>
      <c r="BE107" s="33" t="s">
        <v>117</v>
      </c>
      <c r="BF107" s="33" t="s">
        <v>117</v>
      </c>
      <c r="BG107" s="33" t="s">
        <v>117</v>
      </c>
      <c r="BH107" s="33" t="s">
        <v>117</v>
      </c>
      <c r="BI107" s="33" t="s">
        <v>117</v>
      </c>
      <c r="BJ107" s="33" t="s">
        <v>117</v>
      </c>
      <c r="BK107" s="33" t="s">
        <v>117</v>
      </c>
      <c r="BL107" s="33" t="s">
        <v>117</v>
      </c>
      <c r="BM107" s="33" t="s">
        <v>117</v>
      </c>
      <c r="BN107" s="33" t="s">
        <v>117</v>
      </c>
      <c r="BO107" s="33" t="s">
        <v>117</v>
      </c>
      <c r="BP107" s="33" t="s">
        <v>117</v>
      </c>
      <c r="BQ107" s="33" t="s">
        <v>117</v>
      </c>
      <c r="BR107" s="33" t="s">
        <v>117</v>
      </c>
      <c r="BS107" s="33" t="s">
        <v>117</v>
      </c>
      <c r="BT107" s="33" t="s">
        <v>117</v>
      </c>
      <c r="BU107" s="31">
        <f t="shared" si="48"/>
        <v>0</v>
      </c>
      <c r="BV107" s="29">
        <v>0</v>
      </c>
      <c r="BW107" s="29">
        <v>0</v>
      </c>
      <c r="BX107" s="31">
        <f t="shared" si="66"/>
        <v>0</v>
      </c>
      <c r="BY107" s="33" t="s">
        <v>117</v>
      </c>
      <c r="BZ107" s="26" t="s">
        <v>117</v>
      </c>
    </row>
    <row r="108" spans="1:78" s="13" customFormat="1" ht="47.25" x14ac:dyDescent="0.25">
      <c r="A108" s="27" t="s">
        <v>113</v>
      </c>
      <c r="B108" s="28" t="s">
        <v>114</v>
      </c>
      <c r="C108" s="26" t="s">
        <v>117</v>
      </c>
      <c r="D108" s="26" t="s">
        <v>117</v>
      </c>
      <c r="E108" s="26" t="s">
        <v>117</v>
      </c>
      <c r="F108" s="26" t="s">
        <v>117</v>
      </c>
      <c r="G108" s="26" t="s">
        <v>117</v>
      </c>
      <c r="H108" s="29">
        <v>0</v>
      </c>
      <c r="I108" s="29">
        <v>0</v>
      </c>
      <c r="J108" s="26" t="s">
        <v>117</v>
      </c>
      <c r="K108" s="26" t="s">
        <v>117</v>
      </c>
      <c r="L108" s="26" t="s">
        <v>117</v>
      </c>
      <c r="M108" s="29" t="s">
        <v>117</v>
      </c>
      <c r="N108" s="29" t="s">
        <v>117</v>
      </c>
      <c r="O108" s="29">
        <v>0</v>
      </c>
      <c r="P108" s="29" t="s">
        <v>117</v>
      </c>
      <c r="Q108" s="29" t="s">
        <v>117</v>
      </c>
      <c r="R108" s="29" t="s">
        <v>117</v>
      </c>
      <c r="S108" s="29" t="s">
        <v>117</v>
      </c>
      <c r="T108" s="29" t="s">
        <v>117</v>
      </c>
      <c r="U108" s="26" t="s">
        <v>117</v>
      </c>
      <c r="V108" s="29" t="s">
        <v>117</v>
      </c>
      <c r="W108" s="29" t="s">
        <v>117</v>
      </c>
      <c r="X108" s="29" t="s">
        <v>117</v>
      </c>
      <c r="Y108" s="29" t="s">
        <v>117</v>
      </c>
      <c r="Z108" s="29" t="s">
        <v>117</v>
      </c>
      <c r="AA108" s="29" t="s">
        <v>117</v>
      </c>
      <c r="AB108" s="29" t="s">
        <v>117</v>
      </c>
      <c r="AC108" s="29" t="s">
        <v>117</v>
      </c>
      <c r="AD108" s="29" t="s">
        <v>117</v>
      </c>
      <c r="AE108" s="29" t="s">
        <v>117</v>
      </c>
      <c r="AF108" s="29" t="s">
        <v>117</v>
      </c>
      <c r="AG108" s="29" t="s">
        <v>117</v>
      </c>
      <c r="AH108" s="29" t="s">
        <v>117</v>
      </c>
      <c r="AI108" s="29" t="s">
        <v>117</v>
      </c>
      <c r="AJ108" s="29" t="s">
        <v>117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31">
        <v>0</v>
      </c>
      <c r="AQ108" s="33" t="s">
        <v>117</v>
      </c>
      <c r="AR108" s="33" t="s">
        <v>117</v>
      </c>
      <c r="AS108" s="33" t="s">
        <v>117</v>
      </c>
      <c r="AT108" s="33" t="s">
        <v>117</v>
      </c>
      <c r="AU108" s="33" t="s">
        <v>117</v>
      </c>
      <c r="AV108" s="33" t="s">
        <v>117</v>
      </c>
      <c r="AW108" s="33" t="s">
        <v>117</v>
      </c>
      <c r="AX108" s="33" t="s">
        <v>117</v>
      </c>
      <c r="AY108" s="33" t="s">
        <v>117</v>
      </c>
      <c r="AZ108" s="33" t="s">
        <v>117</v>
      </c>
      <c r="BA108" s="33" t="s">
        <v>117</v>
      </c>
      <c r="BB108" s="33" t="s">
        <v>117</v>
      </c>
      <c r="BC108" s="33" t="s">
        <v>117</v>
      </c>
      <c r="BD108" s="33" t="s">
        <v>117</v>
      </c>
      <c r="BE108" s="33" t="s">
        <v>117</v>
      </c>
      <c r="BF108" s="33" t="s">
        <v>117</v>
      </c>
      <c r="BG108" s="33" t="s">
        <v>117</v>
      </c>
      <c r="BH108" s="33" t="s">
        <v>117</v>
      </c>
      <c r="BI108" s="33" t="s">
        <v>117</v>
      </c>
      <c r="BJ108" s="33" t="s">
        <v>117</v>
      </c>
      <c r="BK108" s="33" t="s">
        <v>117</v>
      </c>
      <c r="BL108" s="33" t="s">
        <v>117</v>
      </c>
      <c r="BM108" s="33" t="s">
        <v>117</v>
      </c>
      <c r="BN108" s="33" t="s">
        <v>117</v>
      </c>
      <c r="BO108" s="33" t="s">
        <v>117</v>
      </c>
      <c r="BP108" s="33" t="s">
        <v>117</v>
      </c>
      <c r="BQ108" s="33" t="s">
        <v>117</v>
      </c>
      <c r="BR108" s="33" t="s">
        <v>117</v>
      </c>
      <c r="BS108" s="33" t="s">
        <v>117</v>
      </c>
      <c r="BT108" s="33" t="s">
        <v>117</v>
      </c>
      <c r="BU108" s="31">
        <f t="shared" si="48"/>
        <v>0</v>
      </c>
      <c r="BV108" s="29">
        <v>0</v>
      </c>
      <c r="BW108" s="29">
        <v>0</v>
      </c>
      <c r="BX108" s="31">
        <f t="shared" si="66"/>
        <v>0</v>
      </c>
      <c r="BY108" s="33" t="s">
        <v>117</v>
      </c>
      <c r="BZ108" s="26" t="s">
        <v>117</v>
      </c>
    </row>
    <row r="109" spans="1:78" s="13" customFormat="1" ht="31.5" x14ac:dyDescent="0.25">
      <c r="A109" s="27" t="s">
        <v>115</v>
      </c>
      <c r="B109" s="28" t="s">
        <v>116</v>
      </c>
      <c r="C109" s="26" t="s">
        <v>126</v>
      </c>
      <c r="D109" s="26" t="s">
        <v>117</v>
      </c>
      <c r="E109" s="26" t="s">
        <v>117</v>
      </c>
      <c r="F109" s="26" t="s">
        <v>117</v>
      </c>
      <c r="G109" s="26" t="s">
        <v>117</v>
      </c>
      <c r="H109" s="29">
        <f>SUM(H110:H116)</f>
        <v>4.6111840000000001E-2</v>
      </c>
      <c r="I109" s="29">
        <f t="shared" ref="I109:AN109" si="67">SUM(I110:I116)</f>
        <v>11.355730830000001</v>
      </c>
      <c r="J109" s="29">
        <f t="shared" si="67"/>
        <v>0</v>
      </c>
      <c r="K109" s="29">
        <f t="shared" si="67"/>
        <v>0</v>
      </c>
      <c r="L109" s="29">
        <f t="shared" si="67"/>
        <v>0</v>
      </c>
      <c r="M109" s="29">
        <f t="shared" si="67"/>
        <v>0</v>
      </c>
      <c r="N109" s="29">
        <f t="shared" si="67"/>
        <v>0</v>
      </c>
      <c r="O109" s="29">
        <f t="shared" si="67"/>
        <v>12.660296322132</v>
      </c>
      <c r="P109" s="29">
        <f t="shared" si="67"/>
        <v>12.660296322132</v>
      </c>
      <c r="Q109" s="29">
        <f t="shared" si="67"/>
        <v>12.660296322132</v>
      </c>
      <c r="R109" s="29">
        <f t="shared" si="67"/>
        <v>6.3917055960000004</v>
      </c>
      <c r="S109" s="29">
        <f t="shared" si="67"/>
        <v>6.1524351960000008</v>
      </c>
      <c r="T109" s="29">
        <f t="shared" si="67"/>
        <v>5.4333111600000006</v>
      </c>
      <c r="U109" s="29">
        <f t="shared" si="67"/>
        <v>0</v>
      </c>
      <c r="V109" s="29">
        <f t="shared" si="67"/>
        <v>0</v>
      </c>
      <c r="W109" s="29">
        <f t="shared" si="67"/>
        <v>0</v>
      </c>
      <c r="X109" s="29">
        <f t="shared" si="67"/>
        <v>0</v>
      </c>
      <c r="Y109" s="29">
        <f t="shared" si="67"/>
        <v>0</v>
      </c>
      <c r="Z109" s="29">
        <f t="shared" si="67"/>
        <v>0</v>
      </c>
      <c r="AA109" s="29">
        <f t="shared" si="67"/>
        <v>0</v>
      </c>
      <c r="AB109" s="29">
        <f t="shared" si="67"/>
        <v>6.2685907261320004</v>
      </c>
      <c r="AC109" s="29">
        <f t="shared" si="67"/>
        <v>0</v>
      </c>
      <c r="AD109" s="29">
        <f t="shared" si="67"/>
        <v>0</v>
      </c>
      <c r="AE109" s="29">
        <f t="shared" si="67"/>
        <v>6.2685907261320004</v>
      </c>
      <c r="AF109" s="29">
        <f t="shared" si="67"/>
        <v>0</v>
      </c>
      <c r="AG109" s="29">
        <f t="shared" si="67"/>
        <v>0.23927039999999999</v>
      </c>
      <c r="AH109" s="29">
        <f t="shared" si="67"/>
        <v>0</v>
      </c>
      <c r="AI109" s="29">
        <f t="shared" si="67"/>
        <v>0</v>
      </c>
      <c r="AJ109" s="29">
        <f t="shared" si="67"/>
        <v>0.23927039999999999</v>
      </c>
      <c r="AK109" s="29">
        <f t="shared" si="67"/>
        <v>0</v>
      </c>
      <c r="AL109" s="29">
        <f t="shared" si="67"/>
        <v>0</v>
      </c>
      <c r="AM109" s="29">
        <f t="shared" si="67"/>
        <v>0</v>
      </c>
      <c r="AN109" s="29">
        <f t="shared" si="67"/>
        <v>0</v>
      </c>
      <c r="AO109" s="29">
        <f t="shared" ref="AO109:BT109" si="68">SUM(AO110:AO116)</f>
        <v>0</v>
      </c>
      <c r="AP109" s="29">
        <f t="shared" si="68"/>
        <v>0</v>
      </c>
      <c r="AQ109" s="29">
        <f t="shared" si="68"/>
        <v>0.71912403600000008</v>
      </c>
      <c r="AR109" s="29">
        <f t="shared" si="68"/>
        <v>0</v>
      </c>
      <c r="AS109" s="29">
        <f t="shared" si="68"/>
        <v>0</v>
      </c>
      <c r="AT109" s="29">
        <f t="shared" si="68"/>
        <v>0.71912403600000008</v>
      </c>
      <c r="AU109" s="29">
        <f t="shared" si="68"/>
        <v>0</v>
      </c>
      <c r="AV109" s="29">
        <f t="shared" si="68"/>
        <v>5.4333111600000006</v>
      </c>
      <c r="AW109" s="29">
        <f t="shared" si="68"/>
        <v>0</v>
      </c>
      <c r="AX109" s="29">
        <f t="shared" si="68"/>
        <v>0</v>
      </c>
      <c r="AY109" s="29">
        <f t="shared" si="68"/>
        <v>5.4333111600000006</v>
      </c>
      <c r="AZ109" s="29">
        <f t="shared" si="68"/>
        <v>0</v>
      </c>
      <c r="BA109" s="29">
        <f t="shared" si="68"/>
        <v>0</v>
      </c>
      <c r="BB109" s="29">
        <f t="shared" si="68"/>
        <v>0</v>
      </c>
      <c r="BC109" s="29">
        <f t="shared" si="68"/>
        <v>0</v>
      </c>
      <c r="BD109" s="29">
        <f t="shared" si="68"/>
        <v>0</v>
      </c>
      <c r="BE109" s="29">
        <f t="shared" si="68"/>
        <v>0</v>
      </c>
      <c r="BF109" s="29">
        <f t="shared" si="68"/>
        <v>0</v>
      </c>
      <c r="BG109" s="29">
        <f t="shared" si="68"/>
        <v>0</v>
      </c>
      <c r="BH109" s="29">
        <f t="shared" si="68"/>
        <v>0</v>
      </c>
      <c r="BI109" s="29">
        <f t="shared" si="68"/>
        <v>0</v>
      </c>
      <c r="BJ109" s="29">
        <f t="shared" si="68"/>
        <v>0</v>
      </c>
      <c r="BK109" s="29">
        <f t="shared" si="68"/>
        <v>0</v>
      </c>
      <c r="BL109" s="29">
        <f t="shared" si="68"/>
        <v>0</v>
      </c>
      <c r="BM109" s="29">
        <f t="shared" si="68"/>
        <v>0</v>
      </c>
      <c r="BN109" s="29">
        <f t="shared" si="68"/>
        <v>0</v>
      </c>
      <c r="BO109" s="29">
        <f t="shared" si="68"/>
        <v>0</v>
      </c>
      <c r="BP109" s="29">
        <f t="shared" si="68"/>
        <v>0</v>
      </c>
      <c r="BQ109" s="29">
        <f t="shared" si="68"/>
        <v>0</v>
      </c>
      <c r="BR109" s="29">
        <f t="shared" si="68"/>
        <v>0</v>
      </c>
      <c r="BS109" s="29">
        <f t="shared" si="68"/>
        <v>0</v>
      </c>
      <c r="BT109" s="29">
        <f t="shared" si="68"/>
        <v>0</v>
      </c>
      <c r="BU109" s="29">
        <f t="shared" ref="BU109" si="69">SUM(BU110:BU116)</f>
        <v>12.660296322132</v>
      </c>
      <c r="BV109" s="29">
        <f t="shared" ref="BV109:BY109" si="70">SUM(BV110:BV116)</f>
        <v>0</v>
      </c>
      <c r="BW109" s="29">
        <f t="shared" si="70"/>
        <v>0</v>
      </c>
      <c r="BX109" s="29">
        <f t="shared" si="70"/>
        <v>12.660296322132</v>
      </c>
      <c r="BY109" s="29">
        <f t="shared" si="70"/>
        <v>0</v>
      </c>
      <c r="BZ109" s="44" t="s">
        <v>117</v>
      </c>
    </row>
    <row r="110" spans="1:78" s="13" customFormat="1" ht="91.5" customHeight="1" x14ac:dyDescent="0.25">
      <c r="A110" s="34" t="s">
        <v>118</v>
      </c>
      <c r="B110" s="30" t="s">
        <v>178</v>
      </c>
      <c r="C110" s="44" t="s">
        <v>218</v>
      </c>
      <c r="D110" s="26" t="s">
        <v>125</v>
      </c>
      <c r="E110" s="26">
        <v>2026</v>
      </c>
      <c r="F110" s="26">
        <v>2026</v>
      </c>
      <c r="G110" s="26"/>
      <c r="H110" s="29" t="s">
        <v>117</v>
      </c>
      <c r="I110" s="29">
        <f>0.51916*1.2</f>
        <v>0.62299199999999988</v>
      </c>
      <c r="J110" s="32" t="s">
        <v>179</v>
      </c>
      <c r="K110" s="26" t="s">
        <v>117</v>
      </c>
      <c r="L110" s="20">
        <v>0</v>
      </c>
      <c r="M110" s="29" t="s">
        <v>117</v>
      </c>
      <c r="N110" s="29" t="s">
        <v>117</v>
      </c>
      <c r="O110" s="29">
        <f>AQ110</f>
        <v>0.71912403600000008</v>
      </c>
      <c r="P110" s="29">
        <f>Q110</f>
        <v>0.71912403600000008</v>
      </c>
      <c r="Q110" s="29">
        <f>O110</f>
        <v>0.71912403600000008</v>
      </c>
      <c r="R110" s="29">
        <f>Q110</f>
        <v>0.71912403600000008</v>
      </c>
      <c r="S110" s="29">
        <f>R110</f>
        <v>0.71912403600000008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9">
        <v>0</v>
      </c>
      <c r="AF110" s="29">
        <v>0</v>
      </c>
      <c r="AG110" s="29">
        <f>AJ110</f>
        <v>0</v>
      </c>
      <c r="AH110" s="29">
        <v>0</v>
      </c>
      <c r="AI110" s="29">
        <v>0</v>
      </c>
      <c r="AJ110" s="29">
        <v>0</v>
      </c>
      <c r="AK110" s="31">
        <v>0</v>
      </c>
      <c r="AL110" s="31"/>
      <c r="AM110" s="31"/>
      <c r="AN110" s="31"/>
      <c r="AO110" s="31"/>
      <c r="AP110" s="31"/>
      <c r="AQ110" s="29">
        <f>AT110</f>
        <v>0.71912403600000008</v>
      </c>
      <c r="AR110" s="29">
        <f>AR111</f>
        <v>0</v>
      </c>
      <c r="AS110" s="29">
        <f>AS111</f>
        <v>0</v>
      </c>
      <c r="AT110" s="29">
        <f>719.124036/1000</f>
        <v>0.71912403600000008</v>
      </c>
      <c r="AU110" s="29">
        <f>AU111</f>
        <v>0</v>
      </c>
      <c r="AV110" s="29">
        <v>0</v>
      </c>
      <c r="AW110" s="29">
        <v>0</v>
      </c>
      <c r="AX110" s="29">
        <v>0</v>
      </c>
      <c r="AY110" s="29">
        <v>0</v>
      </c>
      <c r="AZ110" s="29">
        <v>0</v>
      </c>
      <c r="BA110" s="29">
        <v>0</v>
      </c>
      <c r="BB110" s="29">
        <v>0</v>
      </c>
      <c r="BC110" s="29">
        <v>0</v>
      </c>
      <c r="BD110" s="29">
        <v>0</v>
      </c>
      <c r="BE110" s="29">
        <v>0</v>
      </c>
      <c r="BF110" s="29">
        <v>0</v>
      </c>
      <c r="BG110" s="29">
        <v>0</v>
      </c>
      <c r="BH110" s="29">
        <v>0</v>
      </c>
      <c r="BI110" s="29">
        <v>0</v>
      </c>
      <c r="BJ110" s="29">
        <v>0</v>
      </c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31">
        <f t="shared" si="48"/>
        <v>0.71912403600000008</v>
      </c>
      <c r="BV110" s="29">
        <v>0</v>
      </c>
      <c r="BW110" s="29">
        <v>0</v>
      </c>
      <c r="BX110" s="31">
        <f t="shared" si="66"/>
        <v>0.71912403600000008</v>
      </c>
      <c r="BY110" s="29">
        <v>0</v>
      </c>
      <c r="BZ110" s="30" t="s">
        <v>147</v>
      </c>
    </row>
    <row r="111" spans="1:78" s="13" customFormat="1" ht="49.5" customHeight="1" x14ac:dyDescent="0.25">
      <c r="A111" s="34" t="s">
        <v>119</v>
      </c>
      <c r="B111" s="30" t="s">
        <v>180</v>
      </c>
      <c r="C111" s="44" t="s">
        <v>219</v>
      </c>
      <c r="D111" s="26" t="s">
        <v>125</v>
      </c>
      <c r="E111" s="26">
        <v>2027</v>
      </c>
      <c r="F111" s="26">
        <v>2027</v>
      </c>
      <c r="G111" s="26"/>
      <c r="H111" s="29" t="s">
        <v>117</v>
      </c>
      <c r="I111" s="29">
        <f>3.75*1.2</f>
        <v>4.5</v>
      </c>
      <c r="J111" s="32" t="s">
        <v>160</v>
      </c>
      <c r="K111" s="26" t="s">
        <v>117</v>
      </c>
      <c r="L111" s="20">
        <v>0</v>
      </c>
      <c r="M111" s="29" t="s">
        <v>117</v>
      </c>
      <c r="N111" s="29" t="s">
        <v>117</v>
      </c>
      <c r="O111" s="29">
        <f>AV111</f>
        <v>5.4333111600000006</v>
      </c>
      <c r="P111" s="29">
        <f>Q111</f>
        <v>5.4333111600000006</v>
      </c>
      <c r="Q111" s="29">
        <f>O111</f>
        <v>5.4333111600000006</v>
      </c>
      <c r="R111" s="29">
        <f>Q111</f>
        <v>5.4333111600000006</v>
      </c>
      <c r="S111" s="29">
        <f>R111</f>
        <v>5.4333111600000006</v>
      </c>
      <c r="T111" s="29">
        <f>S111</f>
        <v>5.4333111600000006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29">
        <f>AJ111</f>
        <v>0</v>
      </c>
      <c r="AH111" s="29">
        <v>0</v>
      </c>
      <c r="AI111" s="29">
        <v>0</v>
      </c>
      <c r="AJ111" s="29">
        <v>0</v>
      </c>
      <c r="AK111" s="31">
        <v>0</v>
      </c>
      <c r="AL111" s="31"/>
      <c r="AM111" s="31"/>
      <c r="AN111" s="31"/>
      <c r="AO111" s="31"/>
      <c r="AP111" s="31"/>
      <c r="AQ111" s="31">
        <f>AT111</f>
        <v>0</v>
      </c>
      <c r="AR111" s="31">
        <v>0</v>
      </c>
      <c r="AS111" s="31">
        <v>0</v>
      </c>
      <c r="AT111" s="31">
        <v>0</v>
      </c>
      <c r="AU111" s="31">
        <v>0</v>
      </c>
      <c r="AV111" s="29">
        <f>AY111</f>
        <v>5.4333111600000006</v>
      </c>
      <c r="AW111" s="29">
        <v>0</v>
      </c>
      <c r="AX111" s="29">
        <v>0</v>
      </c>
      <c r="AY111" s="29">
        <f>5433.31116/1000</f>
        <v>5.4333111600000006</v>
      </c>
      <c r="AZ111" s="29">
        <v>0</v>
      </c>
      <c r="BA111" s="29">
        <v>0</v>
      </c>
      <c r="BB111" s="29">
        <v>0</v>
      </c>
      <c r="BC111" s="29">
        <v>0</v>
      </c>
      <c r="BD111" s="29">
        <v>0</v>
      </c>
      <c r="BE111" s="29">
        <v>0</v>
      </c>
      <c r="BF111" s="29">
        <v>0</v>
      </c>
      <c r="BG111" s="29">
        <v>0</v>
      </c>
      <c r="BH111" s="29">
        <v>0</v>
      </c>
      <c r="BI111" s="29">
        <v>0</v>
      </c>
      <c r="BJ111" s="29">
        <v>0</v>
      </c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31">
        <f t="shared" si="48"/>
        <v>5.4333111600000006</v>
      </c>
      <c r="BV111" s="29">
        <v>0</v>
      </c>
      <c r="BW111" s="29">
        <v>0</v>
      </c>
      <c r="BX111" s="31">
        <f t="shared" si="66"/>
        <v>5.4333111600000006</v>
      </c>
      <c r="BY111" s="29">
        <v>0</v>
      </c>
      <c r="BZ111" s="30" t="s">
        <v>195</v>
      </c>
    </row>
    <row r="112" spans="1:78" s="13" customFormat="1" ht="76.5" customHeight="1" x14ac:dyDescent="0.25">
      <c r="A112" s="34" t="s">
        <v>124</v>
      </c>
      <c r="B112" s="30" t="s">
        <v>181</v>
      </c>
      <c r="C112" s="44" t="s">
        <v>220</v>
      </c>
      <c r="D112" s="26" t="s">
        <v>125</v>
      </c>
      <c r="E112" s="26">
        <v>2025</v>
      </c>
      <c r="F112" s="26">
        <v>2025</v>
      </c>
      <c r="G112" s="26"/>
      <c r="H112" s="29" t="s">
        <v>117</v>
      </c>
      <c r="I112" s="29">
        <v>0.21682000000000001</v>
      </c>
      <c r="J112" s="32" t="s">
        <v>160</v>
      </c>
      <c r="K112" s="26" t="s">
        <v>117</v>
      </c>
      <c r="L112" s="20">
        <v>0</v>
      </c>
      <c r="M112" s="29" t="s">
        <v>117</v>
      </c>
      <c r="N112" s="29" t="s">
        <v>117</v>
      </c>
      <c r="O112" s="29">
        <f>AG112</f>
        <v>0.23927039999999999</v>
      </c>
      <c r="P112" s="29">
        <f>Q112</f>
        <v>0.23927039999999999</v>
      </c>
      <c r="Q112" s="29">
        <f>O112</f>
        <v>0.23927039999999999</v>
      </c>
      <c r="R112" s="29">
        <f>Q112</f>
        <v>0.23927039999999999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29">
        <v>0</v>
      </c>
      <c r="AF112" s="29">
        <v>0</v>
      </c>
      <c r="AG112" s="29">
        <f>AJ112</f>
        <v>0.23927039999999999</v>
      </c>
      <c r="AH112" s="29">
        <v>0</v>
      </c>
      <c r="AI112" s="29">
        <v>0</v>
      </c>
      <c r="AJ112" s="29">
        <f>239.2704/1000</f>
        <v>0.23927039999999999</v>
      </c>
      <c r="AK112" s="31">
        <v>0</v>
      </c>
      <c r="AL112" s="31"/>
      <c r="AM112" s="31"/>
      <c r="AN112" s="31"/>
      <c r="AO112" s="31"/>
      <c r="AP112" s="31"/>
      <c r="AQ112" s="31">
        <f>AT112</f>
        <v>0</v>
      </c>
      <c r="AR112" s="31">
        <v>0</v>
      </c>
      <c r="AS112" s="31">
        <v>0</v>
      </c>
      <c r="AT112" s="31">
        <v>0</v>
      </c>
      <c r="AU112" s="31">
        <v>0</v>
      </c>
      <c r="AV112" s="29">
        <v>0</v>
      </c>
      <c r="AW112" s="29">
        <v>0</v>
      </c>
      <c r="AX112" s="29">
        <v>0</v>
      </c>
      <c r="AY112" s="29">
        <v>0</v>
      </c>
      <c r="AZ112" s="29">
        <v>0</v>
      </c>
      <c r="BA112" s="29">
        <v>0</v>
      </c>
      <c r="BB112" s="29">
        <v>0</v>
      </c>
      <c r="BC112" s="29">
        <v>0</v>
      </c>
      <c r="BD112" s="29">
        <v>0</v>
      </c>
      <c r="BE112" s="29">
        <v>0</v>
      </c>
      <c r="BF112" s="29">
        <v>0</v>
      </c>
      <c r="BG112" s="29">
        <v>0</v>
      </c>
      <c r="BH112" s="29">
        <v>0</v>
      </c>
      <c r="BI112" s="29">
        <v>0</v>
      </c>
      <c r="BJ112" s="29">
        <v>0</v>
      </c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31">
        <f t="shared" si="48"/>
        <v>0.23927039999999999</v>
      </c>
      <c r="BV112" s="29">
        <v>0</v>
      </c>
      <c r="BW112" s="29">
        <v>0</v>
      </c>
      <c r="BX112" s="31">
        <f t="shared" si="66"/>
        <v>0.23927039999999999</v>
      </c>
      <c r="BY112" s="29">
        <v>0</v>
      </c>
      <c r="BZ112" s="30" t="s">
        <v>146</v>
      </c>
    </row>
    <row r="113" spans="1:78" s="13" customFormat="1" ht="76.5" customHeight="1" x14ac:dyDescent="0.25">
      <c r="A113" s="34" t="s">
        <v>263</v>
      </c>
      <c r="B113" s="30" t="s">
        <v>267</v>
      </c>
      <c r="C113" s="44" t="s">
        <v>270</v>
      </c>
      <c r="D113" s="26" t="s">
        <v>125</v>
      </c>
      <c r="E113" s="26">
        <v>2025</v>
      </c>
      <c r="F113" s="26">
        <v>2025</v>
      </c>
      <c r="G113" s="26"/>
      <c r="H113" s="29" t="s">
        <v>117</v>
      </c>
      <c r="I113" s="29">
        <v>0.30199999999999999</v>
      </c>
      <c r="J113" s="32" t="s">
        <v>179</v>
      </c>
      <c r="K113" s="26" t="s">
        <v>117</v>
      </c>
      <c r="L113" s="20">
        <v>0</v>
      </c>
      <c r="M113" s="29" t="s">
        <v>117</v>
      </c>
      <c r="N113" s="29" t="s">
        <v>117</v>
      </c>
      <c r="O113" s="29">
        <f t="shared" ref="O113:O116" si="71">L113+BU113</f>
        <v>0.31800600421199998</v>
      </c>
      <c r="P113" s="29">
        <f t="shared" ref="P113:Q116" si="72">O113</f>
        <v>0.31800600421199998</v>
      </c>
      <c r="Q113" s="29">
        <f t="shared" si="72"/>
        <v>0.31800600421199998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f>AE113</f>
        <v>0.31800600421199998</v>
      </c>
      <c r="AC113" s="29">
        <v>0</v>
      </c>
      <c r="AD113" s="29">
        <v>0</v>
      </c>
      <c r="AE113" s="29">
        <f>318.006004212/1000</f>
        <v>0.31800600421199998</v>
      </c>
      <c r="AF113" s="29">
        <v>0</v>
      </c>
      <c r="AG113" s="29">
        <v>0</v>
      </c>
      <c r="AH113" s="29">
        <v>0</v>
      </c>
      <c r="AI113" s="29">
        <v>0</v>
      </c>
      <c r="AJ113" s="29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31">
        <v>0</v>
      </c>
      <c r="AQ113" s="31">
        <v>0</v>
      </c>
      <c r="AR113" s="31">
        <v>0</v>
      </c>
      <c r="AS113" s="31">
        <v>0</v>
      </c>
      <c r="AT113" s="31">
        <v>0</v>
      </c>
      <c r="AU113" s="31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  <c r="BD113" s="29">
        <v>0</v>
      </c>
      <c r="BE113" s="29">
        <v>0</v>
      </c>
      <c r="BF113" s="29">
        <v>0</v>
      </c>
      <c r="BG113" s="29">
        <v>0</v>
      </c>
      <c r="BH113" s="29">
        <v>0</v>
      </c>
      <c r="BI113" s="29">
        <v>0</v>
      </c>
      <c r="BJ113" s="29">
        <v>0</v>
      </c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31">
        <f t="shared" si="48"/>
        <v>0.31800600421199998</v>
      </c>
      <c r="BV113" s="29">
        <v>0</v>
      </c>
      <c r="BW113" s="29">
        <v>0</v>
      </c>
      <c r="BX113" s="31">
        <f t="shared" ref="BX113:BX116" si="73">BI113+BD113+AY113+AT113+AJ113+AE113</f>
        <v>0.31800600421199998</v>
      </c>
      <c r="BY113" s="29">
        <v>0</v>
      </c>
      <c r="BZ113" s="30" t="s">
        <v>195</v>
      </c>
    </row>
    <row r="114" spans="1:78" s="13" customFormat="1" ht="76.5" customHeight="1" x14ac:dyDescent="0.25">
      <c r="A114" s="34" t="s">
        <v>264</v>
      </c>
      <c r="B114" s="30" t="s">
        <v>277</v>
      </c>
      <c r="C114" s="44" t="s">
        <v>271</v>
      </c>
      <c r="D114" s="26" t="s">
        <v>125</v>
      </c>
      <c r="E114" s="26">
        <v>2025</v>
      </c>
      <c r="F114" s="26">
        <v>2025</v>
      </c>
      <c r="G114" s="26"/>
      <c r="H114" s="29" t="s">
        <v>117</v>
      </c>
      <c r="I114" s="29">
        <v>4.4653941599999998</v>
      </c>
      <c r="J114" s="32" t="s">
        <v>278</v>
      </c>
      <c r="K114" s="26" t="s">
        <v>117</v>
      </c>
      <c r="L114" s="20">
        <v>0</v>
      </c>
      <c r="M114" s="29" t="s">
        <v>117</v>
      </c>
      <c r="N114" s="29" t="s">
        <v>117</v>
      </c>
      <c r="O114" s="29">
        <f t="shared" si="71"/>
        <v>4.7020600504800001</v>
      </c>
      <c r="P114" s="29">
        <f t="shared" si="72"/>
        <v>4.7020600504800001</v>
      </c>
      <c r="Q114" s="29">
        <f t="shared" si="72"/>
        <v>4.7020600504800001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f>AE114</f>
        <v>4.7020600504800001</v>
      </c>
      <c r="AC114" s="29">
        <v>0</v>
      </c>
      <c r="AD114" s="29">
        <v>0</v>
      </c>
      <c r="AE114" s="29">
        <f>4702.06005048/1000</f>
        <v>4.7020600504800001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31">
        <v>0</v>
      </c>
      <c r="AQ114" s="31">
        <v>0</v>
      </c>
      <c r="AR114" s="31">
        <v>0</v>
      </c>
      <c r="AS114" s="31">
        <v>0</v>
      </c>
      <c r="AT114" s="31">
        <v>0</v>
      </c>
      <c r="AU114" s="31">
        <v>0</v>
      </c>
      <c r="AV114" s="29">
        <v>0</v>
      </c>
      <c r="AW114" s="29">
        <v>0</v>
      </c>
      <c r="AX114" s="29">
        <v>0</v>
      </c>
      <c r="AY114" s="29">
        <v>0</v>
      </c>
      <c r="AZ114" s="29">
        <v>0</v>
      </c>
      <c r="BA114" s="29">
        <v>0</v>
      </c>
      <c r="BB114" s="29">
        <v>0</v>
      </c>
      <c r="BC114" s="29">
        <v>0</v>
      </c>
      <c r="BD114" s="29">
        <v>0</v>
      </c>
      <c r="BE114" s="29">
        <v>0</v>
      </c>
      <c r="BF114" s="29">
        <v>0</v>
      </c>
      <c r="BG114" s="29">
        <v>0</v>
      </c>
      <c r="BH114" s="29">
        <v>0</v>
      </c>
      <c r="BI114" s="29">
        <v>0</v>
      </c>
      <c r="BJ114" s="29">
        <v>0</v>
      </c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31">
        <f t="shared" si="48"/>
        <v>4.7020600504800001</v>
      </c>
      <c r="BV114" s="29">
        <v>0</v>
      </c>
      <c r="BW114" s="29">
        <v>0</v>
      </c>
      <c r="BX114" s="31">
        <f t="shared" si="73"/>
        <v>4.7020600504800001</v>
      </c>
      <c r="BY114" s="29">
        <v>0</v>
      </c>
      <c r="BZ114" s="30" t="s">
        <v>146</v>
      </c>
    </row>
    <row r="115" spans="1:78" s="13" customFormat="1" ht="84" customHeight="1" x14ac:dyDescent="0.25">
      <c r="A115" s="34" t="s">
        <v>265</v>
      </c>
      <c r="B115" s="30" t="s">
        <v>268</v>
      </c>
      <c r="C115" s="44" t="s">
        <v>272</v>
      </c>
      <c r="D115" s="26" t="s">
        <v>125</v>
      </c>
      <c r="E115" s="26">
        <v>2025</v>
      </c>
      <c r="F115" s="26">
        <v>2025</v>
      </c>
      <c r="G115" s="26"/>
      <c r="H115" s="29">
        <v>4.6111840000000001E-2</v>
      </c>
      <c r="I115" s="29">
        <v>0.46810467</v>
      </c>
      <c r="J115" s="32" t="s">
        <v>273</v>
      </c>
      <c r="K115" s="26" t="s">
        <v>117</v>
      </c>
      <c r="L115" s="20">
        <v>0</v>
      </c>
      <c r="M115" s="29" t="s">
        <v>117</v>
      </c>
      <c r="N115" s="29" t="s">
        <v>117</v>
      </c>
      <c r="O115" s="29">
        <f t="shared" si="71"/>
        <v>0.46810467144000001</v>
      </c>
      <c r="P115" s="29">
        <f t="shared" si="72"/>
        <v>0.46810467144000001</v>
      </c>
      <c r="Q115" s="29">
        <f t="shared" si="72"/>
        <v>0.46810467144000001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0</v>
      </c>
      <c r="AA115" s="29">
        <v>0</v>
      </c>
      <c r="AB115" s="29">
        <f>AE115</f>
        <v>0.46810467144000001</v>
      </c>
      <c r="AC115" s="29">
        <v>0</v>
      </c>
      <c r="AD115" s="29">
        <v>0</v>
      </c>
      <c r="AE115" s="29">
        <f>468.10467144/1000</f>
        <v>0.46810467144000001</v>
      </c>
      <c r="AF115" s="29">
        <v>0</v>
      </c>
      <c r="AG115" s="29">
        <v>0</v>
      </c>
      <c r="AH115" s="29">
        <v>0</v>
      </c>
      <c r="AI115" s="29">
        <v>0</v>
      </c>
      <c r="AJ115" s="29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31">
        <v>0</v>
      </c>
      <c r="AQ115" s="31">
        <v>0</v>
      </c>
      <c r="AR115" s="31">
        <v>0</v>
      </c>
      <c r="AS115" s="31">
        <v>0</v>
      </c>
      <c r="AT115" s="31">
        <v>0</v>
      </c>
      <c r="AU115" s="31">
        <v>0</v>
      </c>
      <c r="AV115" s="29">
        <v>0</v>
      </c>
      <c r="AW115" s="29">
        <v>0</v>
      </c>
      <c r="AX115" s="29">
        <v>0</v>
      </c>
      <c r="AY115" s="29">
        <v>0</v>
      </c>
      <c r="AZ115" s="29">
        <v>0</v>
      </c>
      <c r="BA115" s="29">
        <v>0</v>
      </c>
      <c r="BB115" s="29">
        <v>0</v>
      </c>
      <c r="BC115" s="29">
        <v>0</v>
      </c>
      <c r="BD115" s="29">
        <v>0</v>
      </c>
      <c r="BE115" s="29">
        <v>0</v>
      </c>
      <c r="BF115" s="29">
        <v>0</v>
      </c>
      <c r="BG115" s="29">
        <v>0</v>
      </c>
      <c r="BH115" s="29">
        <v>0</v>
      </c>
      <c r="BI115" s="29">
        <v>0</v>
      </c>
      <c r="BJ115" s="29">
        <v>0</v>
      </c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31">
        <f t="shared" si="48"/>
        <v>0.46810467144000001</v>
      </c>
      <c r="BV115" s="29">
        <v>0</v>
      </c>
      <c r="BW115" s="29">
        <v>0</v>
      </c>
      <c r="BX115" s="31">
        <f t="shared" si="73"/>
        <v>0.46810467144000001</v>
      </c>
      <c r="BY115" s="29">
        <v>0</v>
      </c>
      <c r="BZ115" s="30" t="s">
        <v>274</v>
      </c>
    </row>
    <row r="116" spans="1:78" s="13" customFormat="1" ht="76.5" customHeight="1" x14ac:dyDescent="0.25">
      <c r="A116" s="34" t="s">
        <v>266</v>
      </c>
      <c r="B116" s="30" t="s">
        <v>269</v>
      </c>
      <c r="C116" s="44" t="s">
        <v>276</v>
      </c>
      <c r="D116" s="26" t="s">
        <v>125</v>
      </c>
      <c r="E116" s="26">
        <v>2025</v>
      </c>
      <c r="F116" s="26">
        <v>2025</v>
      </c>
      <c r="G116" s="26"/>
      <c r="H116" s="29" t="s">
        <v>117</v>
      </c>
      <c r="I116" s="29">
        <f>780.42/1000</f>
        <v>0.78042</v>
      </c>
      <c r="J116" s="32" t="s">
        <v>275</v>
      </c>
      <c r="K116" s="26" t="s">
        <v>117</v>
      </c>
      <c r="L116" s="20">
        <v>0</v>
      </c>
      <c r="M116" s="29" t="s">
        <v>117</v>
      </c>
      <c r="N116" s="29" t="s">
        <v>117</v>
      </c>
      <c r="O116" s="29">
        <f t="shared" si="71"/>
        <v>0.78042</v>
      </c>
      <c r="P116" s="29">
        <f t="shared" si="72"/>
        <v>0.78042</v>
      </c>
      <c r="Q116" s="29">
        <f t="shared" si="72"/>
        <v>0.78042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f>AE116</f>
        <v>0.78042</v>
      </c>
      <c r="AC116" s="29">
        <v>0</v>
      </c>
      <c r="AD116" s="29">
        <v>0</v>
      </c>
      <c r="AE116" s="29">
        <v>0.78042</v>
      </c>
      <c r="AF116" s="29">
        <v>0</v>
      </c>
      <c r="AG116" s="29">
        <v>0</v>
      </c>
      <c r="AH116" s="29">
        <v>0</v>
      </c>
      <c r="AI116" s="29">
        <v>0</v>
      </c>
      <c r="AJ116" s="29">
        <v>0</v>
      </c>
      <c r="AK116" s="31">
        <v>0</v>
      </c>
      <c r="AL116" s="31">
        <v>0</v>
      </c>
      <c r="AM116" s="31">
        <v>0</v>
      </c>
      <c r="AN116" s="31">
        <v>0</v>
      </c>
      <c r="AO116" s="31">
        <v>0</v>
      </c>
      <c r="AP116" s="31">
        <v>0</v>
      </c>
      <c r="AQ116" s="31">
        <v>0</v>
      </c>
      <c r="AR116" s="31">
        <v>0</v>
      </c>
      <c r="AS116" s="31">
        <v>0</v>
      </c>
      <c r="AT116" s="31">
        <v>0</v>
      </c>
      <c r="AU116" s="31">
        <v>0</v>
      </c>
      <c r="AV116" s="29">
        <v>0</v>
      </c>
      <c r="AW116" s="29">
        <v>0</v>
      </c>
      <c r="AX116" s="29">
        <v>0</v>
      </c>
      <c r="AY116" s="29">
        <v>0</v>
      </c>
      <c r="AZ116" s="29">
        <v>0</v>
      </c>
      <c r="BA116" s="29">
        <v>0</v>
      </c>
      <c r="BB116" s="29">
        <v>0</v>
      </c>
      <c r="BC116" s="29">
        <v>0</v>
      </c>
      <c r="BD116" s="29">
        <v>0</v>
      </c>
      <c r="BE116" s="29">
        <v>0</v>
      </c>
      <c r="BF116" s="29">
        <v>0</v>
      </c>
      <c r="BG116" s="29">
        <v>0</v>
      </c>
      <c r="BH116" s="29">
        <v>0</v>
      </c>
      <c r="BI116" s="29">
        <v>0</v>
      </c>
      <c r="BJ116" s="29">
        <v>0</v>
      </c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31">
        <f t="shared" si="48"/>
        <v>0.78042</v>
      </c>
      <c r="BV116" s="29">
        <v>0</v>
      </c>
      <c r="BW116" s="29">
        <v>0</v>
      </c>
      <c r="BX116" s="31">
        <f t="shared" si="73"/>
        <v>0.78042</v>
      </c>
      <c r="BY116" s="29">
        <v>0</v>
      </c>
      <c r="BZ116" s="30" t="s">
        <v>195</v>
      </c>
    </row>
    <row r="132" spans="17:17" x14ac:dyDescent="0.25">
      <c r="Q132" s="42"/>
    </row>
    <row r="133" spans="17:17" x14ac:dyDescent="0.25">
      <c r="Q133" s="42"/>
    </row>
    <row r="135" spans="17:17" x14ac:dyDescent="0.25">
      <c r="Q135" s="42"/>
    </row>
  </sheetData>
  <mergeCells count="38">
    <mergeCell ref="A18:AP18"/>
    <mergeCell ref="A19:AP19"/>
    <mergeCell ref="A20:AP20"/>
    <mergeCell ref="BU21:BZ21"/>
    <mergeCell ref="A22:A24"/>
    <mergeCell ref="BF23:BJ23"/>
    <mergeCell ref="BK23:BO23"/>
    <mergeCell ref="BZ22:BZ24"/>
    <mergeCell ref="H23:J23"/>
    <mergeCell ref="M23:N23"/>
    <mergeCell ref="B22:B24"/>
    <mergeCell ref="C22:C24"/>
    <mergeCell ref="D22:D24"/>
    <mergeCell ref="E22:E24"/>
    <mergeCell ref="F22:G23"/>
    <mergeCell ref="W23:AA23"/>
    <mergeCell ref="W22:AA22"/>
    <mergeCell ref="P22:V23"/>
    <mergeCell ref="AB22:BY22"/>
    <mergeCell ref="AB23:AF23"/>
    <mergeCell ref="BP23:BT23"/>
    <mergeCell ref="BU23:BY23"/>
    <mergeCell ref="A12:BA12"/>
    <mergeCell ref="A14:BA14"/>
    <mergeCell ref="A15:BA15"/>
    <mergeCell ref="AL23:AP23"/>
    <mergeCell ref="AQ23:AU23"/>
    <mergeCell ref="H22:J22"/>
    <mergeCell ref="K22:K24"/>
    <mergeCell ref="L22:L24"/>
    <mergeCell ref="M22:N22"/>
    <mergeCell ref="O22:O23"/>
    <mergeCell ref="AV23:AZ23"/>
    <mergeCell ref="BA23:BE23"/>
    <mergeCell ref="AG23:AK23"/>
    <mergeCell ref="A17:AP17"/>
    <mergeCell ref="A13:AP13"/>
    <mergeCell ref="A16:AP16"/>
  </mergeCells>
  <pageMargins left="0.19685039370078741" right="0.19685039370078741" top="0.35433070866141736" bottom="0.15748031496062992" header="0.31496062992125984" footer="0.31496062992125984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A191-F577-41D7-8BD1-F617C5CB1324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86" t="s">
        <v>281</v>
      </c>
      <c r="B1" s="87"/>
      <c r="C1" s="88"/>
    </row>
    <row r="2" spans="1:3" ht="15" customHeight="1" x14ac:dyDescent="0.25">
      <c r="A2" s="89"/>
      <c r="B2" s="90" t="s">
        <v>282</v>
      </c>
      <c r="C2" s="91"/>
    </row>
    <row r="3" spans="1:3" ht="15" customHeight="1" x14ac:dyDescent="0.25">
      <c r="A3" s="89"/>
      <c r="B3" s="90" t="s">
        <v>283</v>
      </c>
      <c r="C3" s="91"/>
    </row>
    <row r="4" spans="1:3" ht="15" customHeight="1" x14ac:dyDescent="0.25">
      <c r="A4" s="92" t="s">
        <v>284</v>
      </c>
      <c r="B4" s="93"/>
      <c r="C4" s="94"/>
    </row>
    <row r="5" spans="1:3" ht="15" customHeight="1" x14ac:dyDescent="0.25">
      <c r="A5" s="84" t="s">
        <v>285</v>
      </c>
      <c r="B5" s="85"/>
      <c r="C5" s="58" t="s">
        <v>286</v>
      </c>
    </row>
    <row r="6" spans="1:3" ht="105" x14ac:dyDescent="0.25">
      <c r="A6" s="95" t="s">
        <v>287</v>
      </c>
      <c r="B6" s="96"/>
      <c r="C6" s="58" t="s">
        <v>288</v>
      </c>
    </row>
    <row r="7" spans="1:3" ht="60" x14ac:dyDescent="0.25">
      <c r="A7" s="95" t="s">
        <v>289</v>
      </c>
      <c r="B7" s="96"/>
      <c r="C7" s="58" t="s">
        <v>290</v>
      </c>
    </row>
    <row r="8" spans="1:3" ht="15" customHeight="1" x14ac:dyDescent="0.25">
      <c r="A8" s="84" t="s">
        <v>291</v>
      </c>
      <c r="B8" s="85"/>
      <c r="C8" s="58" t="s">
        <v>292</v>
      </c>
    </row>
    <row r="9" spans="1:3" ht="15" customHeight="1" x14ac:dyDescent="0.25">
      <c r="A9" s="84" t="s">
        <v>293</v>
      </c>
      <c r="B9" s="85"/>
      <c r="C9" s="58" t="s">
        <v>294</v>
      </c>
    </row>
    <row r="10" spans="1:3" ht="15" customHeight="1" x14ac:dyDescent="0.25">
      <c r="A10" s="84" t="s">
        <v>295</v>
      </c>
      <c r="B10" s="85"/>
      <c r="C10" s="58" t="s">
        <v>296</v>
      </c>
    </row>
    <row r="11" spans="1:3" ht="15" customHeight="1" x14ac:dyDescent="0.25">
      <c r="A11" s="84" t="s">
        <v>297</v>
      </c>
      <c r="B11" s="85"/>
      <c r="C11" s="58" t="s">
        <v>298</v>
      </c>
    </row>
    <row r="12" spans="1:3" ht="15.75" thickBot="1" x14ac:dyDescent="0.3">
      <c r="A12" s="55"/>
      <c r="B12" s="56"/>
      <c r="C12" s="57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2024-09-17T02:37:54Z</dcterms:modified>
</cp:coreProperties>
</file>